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0" windowWidth="19140" windowHeight="6840" activeTab="2"/>
  </bookViews>
  <sheets>
    <sheet name="Print" sheetId="4" r:id="rId1"/>
    <sheet name="Data" sheetId="1" r:id="rId2"/>
    <sheet name="Summary" sheetId="2" r:id="rId3"/>
    <sheet name="Lookups" sheetId="3" r:id="rId4"/>
  </sheets>
  <definedNames>
    <definedName name="_xlnm._FilterDatabase" localSheetId="1" hidden="1">Data!$A$2:$AE$246</definedName>
  </definedNames>
  <calcPr calcId="144525"/>
</workbook>
</file>

<file path=xl/calcChain.xml><?xml version="1.0" encoding="utf-8"?>
<calcChain xmlns="http://schemas.openxmlformats.org/spreadsheetml/2006/main">
  <c r="F10" i="2" l="1"/>
  <c r="F8" i="2"/>
  <c r="C8" i="2"/>
  <c r="X4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5" i="1"/>
  <c r="X6" i="1"/>
  <c r="X7" i="1"/>
  <c r="X243" i="1"/>
  <c r="F7" i="2"/>
  <c r="F6" i="2"/>
  <c r="E6" i="2"/>
  <c r="F5" i="2"/>
  <c r="E5" i="2"/>
  <c r="F4" i="2"/>
  <c r="E4" i="2"/>
  <c r="C22" i="2"/>
  <c r="C25" i="2" s="1"/>
  <c r="B22" i="2"/>
  <c r="B25" i="2" s="1"/>
  <c r="E7" i="2"/>
  <c r="P245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4" i="1"/>
  <c r="Y145" i="1"/>
  <c r="Y146" i="1"/>
  <c r="Y147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4" i="1"/>
  <c r="W172" i="1"/>
  <c r="U5" i="1"/>
  <c r="L5" i="1"/>
  <c r="W239" i="1"/>
  <c r="W238" i="1"/>
  <c r="W232" i="1"/>
  <c r="W230" i="1"/>
  <c r="W229" i="1"/>
  <c r="W228" i="1"/>
  <c r="W223" i="1"/>
  <c r="V222" i="1"/>
  <c r="W222" i="1" s="1"/>
  <c r="W221" i="1"/>
  <c r="W216" i="1"/>
  <c r="W215" i="1"/>
  <c r="W212" i="1"/>
  <c r="W211" i="1"/>
  <c r="W210" i="1"/>
  <c r="W206" i="1"/>
  <c r="W204" i="1"/>
  <c r="W202" i="1"/>
  <c r="W200" i="1"/>
  <c r="W199" i="1"/>
  <c r="W197" i="1"/>
  <c r="W196" i="1"/>
  <c r="W195" i="1"/>
  <c r="W193" i="1"/>
  <c r="W190" i="1"/>
  <c r="W186" i="1"/>
  <c r="W185" i="1"/>
  <c r="W184" i="1"/>
  <c r="W183" i="1"/>
  <c r="W182" i="1"/>
  <c r="W181" i="1"/>
  <c r="W179" i="1"/>
  <c r="W175" i="1"/>
  <c r="W173" i="1"/>
  <c r="W171" i="1"/>
  <c r="W170" i="1"/>
  <c r="W163" i="1"/>
  <c r="W159" i="1"/>
  <c r="W155" i="1"/>
  <c r="W153" i="1"/>
  <c r="W152" i="1"/>
  <c r="W150" i="1"/>
  <c r="W142" i="1"/>
  <c r="W137" i="1"/>
  <c r="W136" i="1"/>
  <c r="W135" i="1"/>
  <c r="W132" i="1"/>
  <c r="W131" i="1"/>
  <c r="W127" i="1"/>
  <c r="W124" i="1"/>
  <c r="W123" i="1"/>
  <c r="W121" i="1"/>
  <c r="W120" i="1"/>
  <c r="W117" i="1"/>
  <c r="W116" i="1"/>
  <c r="W112" i="1"/>
  <c r="W109" i="1"/>
  <c r="W108" i="1"/>
  <c r="W107" i="1"/>
  <c r="W106" i="1"/>
  <c r="W104" i="1"/>
  <c r="W102" i="1"/>
  <c r="W101" i="1"/>
  <c r="W100" i="1"/>
  <c r="W97" i="1"/>
  <c r="W96" i="1"/>
  <c r="W92" i="1"/>
  <c r="W89" i="1"/>
  <c r="W88" i="1"/>
  <c r="W87" i="1"/>
  <c r="W86" i="1"/>
  <c r="W83" i="1"/>
  <c r="W80" i="1"/>
  <c r="W77" i="1"/>
  <c r="W72" i="1"/>
  <c r="W70" i="1"/>
  <c r="W69" i="1"/>
  <c r="W67" i="1"/>
  <c r="W66" i="1"/>
  <c r="W64" i="1"/>
  <c r="W62" i="1"/>
  <c r="W61" i="1"/>
  <c r="W59" i="1"/>
  <c r="W58" i="1"/>
  <c r="W57" i="1"/>
  <c r="W50" i="1"/>
  <c r="W45" i="1"/>
  <c r="W43" i="1"/>
  <c r="W41" i="1"/>
  <c r="W40" i="1"/>
  <c r="W27" i="1"/>
  <c r="W26" i="1"/>
  <c r="W25" i="1"/>
  <c r="W24" i="1"/>
  <c r="W23" i="1"/>
  <c r="W16" i="1"/>
  <c r="W15" i="1"/>
  <c r="W14" i="1"/>
  <c r="W12" i="1"/>
  <c r="W11" i="1"/>
  <c r="W5" i="1"/>
  <c r="W4" i="1"/>
  <c r="P150" i="1"/>
  <c r="Q131" i="1"/>
  <c r="V131" i="1" s="1"/>
  <c r="Q132" i="1"/>
  <c r="V132" i="1" s="1"/>
  <c r="U131" i="1"/>
  <c r="U132" i="1"/>
  <c r="U136" i="1"/>
  <c r="Q136" i="1"/>
  <c r="V136" i="1" s="1"/>
  <c r="Q121" i="1"/>
  <c r="V121" i="1" s="1"/>
  <c r="P87" i="1"/>
  <c r="U228" i="1"/>
  <c r="Q228" i="1"/>
  <c r="V228" i="1" s="1"/>
  <c r="M222" i="1"/>
  <c r="U221" i="1"/>
  <c r="U222" i="1"/>
  <c r="U223" i="1"/>
  <c r="Q221" i="1"/>
  <c r="V221" i="1" s="1"/>
  <c r="Q222" i="1"/>
  <c r="Q223" i="1"/>
  <c r="V223" i="1" s="1"/>
  <c r="U215" i="1"/>
  <c r="Q215" i="1"/>
  <c r="V215" i="1" s="1"/>
  <c r="U211" i="1"/>
  <c r="Q211" i="1"/>
  <c r="V211" i="1" s="1"/>
  <c r="U210" i="1"/>
  <c r="Q210" i="1"/>
  <c r="V210" i="1" s="1"/>
  <c r="U196" i="1"/>
  <c r="Q196" i="1"/>
  <c r="V196" i="1" s="1"/>
  <c r="Q192" i="1"/>
  <c r="V192" i="1" s="1"/>
  <c r="W192" i="1" s="1"/>
  <c r="U190" i="1"/>
  <c r="Q190" i="1"/>
  <c r="V190" i="1" s="1"/>
  <c r="U186" i="1"/>
  <c r="Q186" i="1"/>
  <c r="V186" i="1" s="1"/>
  <c r="U183" i="1"/>
  <c r="U184" i="1"/>
  <c r="Q183" i="1"/>
  <c r="V183" i="1" s="1"/>
  <c r="Q184" i="1"/>
  <c r="V184" i="1" s="1"/>
  <c r="M156" i="1"/>
  <c r="U150" i="1"/>
  <c r="Q150" i="1"/>
  <c r="V150" i="1" s="1"/>
  <c r="U106" i="1"/>
  <c r="Q106" i="1"/>
  <c r="V106" i="1" s="1"/>
  <c r="U96" i="1"/>
  <c r="Q96" i="1"/>
  <c r="V96" i="1" s="1"/>
  <c r="Q87" i="1"/>
  <c r="V87" i="1" s="1"/>
  <c r="Q89" i="1"/>
  <c r="V89" i="1" s="1"/>
  <c r="U88" i="1"/>
  <c r="Q76" i="1"/>
  <c r="V76" i="1" s="1"/>
  <c r="W76" i="1" s="1"/>
  <c r="Q75" i="1"/>
  <c r="U72" i="1"/>
  <c r="Q72" i="1"/>
  <c r="V72" i="1" s="1"/>
  <c r="Q55" i="1"/>
  <c r="Q38" i="1"/>
  <c r="Q21" i="1"/>
  <c r="V21" i="1" s="1"/>
  <c r="W21" i="1" s="1"/>
  <c r="Q243" i="1"/>
  <c r="V243" i="1" s="1"/>
  <c r="W243" i="1" s="1"/>
  <c r="Y243" i="1" s="1"/>
  <c r="Q242" i="1"/>
  <c r="V242" i="1" s="1"/>
  <c r="W242" i="1" s="1"/>
  <c r="Q241" i="1"/>
  <c r="Q240" i="1"/>
  <c r="V240" i="1" s="1"/>
  <c r="W240" i="1" s="1"/>
  <c r="Q239" i="1"/>
  <c r="V239" i="1" s="1"/>
  <c r="Q238" i="1"/>
  <c r="V238" i="1" s="1"/>
  <c r="Q237" i="1"/>
  <c r="Q236" i="1"/>
  <c r="Q235" i="1"/>
  <c r="V235" i="1" s="1"/>
  <c r="W235" i="1" s="1"/>
  <c r="Q234" i="1"/>
  <c r="V234" i="1" s="1"/>
  <c r="W234" i="1" s="1"/>
  <c r="Q233" i="1"/>
  <c r="V233" i="1" s="1"/>
  <c r="W233" i="1" s="1"/>
  <c r="Q232" i="1"/>
  <c r="V232" i="1" s="1"/>
  <c r="Q231" i="1"/>
  <c r="V231" i="1" s="1"/>
  <c r="W231" i="1" s="1"/>
  <c r="Q230" i="1"/>
  <c r="V230" i="1" s="1"/>
  <c r="Q229" i="1"/>
  <c r="V229" i="1" s="1"/>
  <c r="Q227" i="1"/>
  <c r="Q226" i="1"/>
  <c r="Q225" i="1"/>
  <c r="Q224" i="1"/>
  <c r="V224" i="1" s="1"/>
  <c r="W224" i="1" s="1"/>
  <c r="Q220" i="1"/>
  <c r="V220" i="1" s="1"/>
  <c r="W220" i="1" s="1"/>
  <c r="Q219" i="1"/>
  <c r="V219" i="1" s="1"/>
  <c r="W219" i="1" s="1"/>
  <c r="Q218" i="1"/>
  <c r="Q217" i="1"/>
  <c r="V217" i="1" s="1"/>
  <c r="W217" i="1" s="1"/>
  <c r="Q216" i="1"/>
  <c r="V216" i="1" s="1"/>
  <c r="Q214" i="1"/>
  <c r="Q213" i="1"/>
  <c r="Q212" i="1"/>
  <c r="V212" i="1" s="1"/>
  <c r="Q209" i="1"/>
  <c r="V209" i="1" s="1"/>
  <c r="W209" i="1" s="1"/>
  <c r="Q208" i="1"/>
  <c r="V208" i="1" s="1"/>
  <c r="W208" i="1" s="1"/>
  <c r="Q207" i="1"/>
  <c r="V207" i="1" s="1"/>
  <c r="W207" i="1" s="1"/>
  <c r="Q206" i="1"/>
  <c r="V206" i="1" s="1"/>
  <c r="Q205" i="1"/>
  <c r="V205" i="1" s="1"/>
  <c r="W205" i="1" s="1"/>
  <c r="Q204" i="1"/>
  <c r="V204" i="1" s="1"/>
  <c r="Q203" i="1"/>
  <c r="V203" i="1" s="1"/>
  <c r="W203" i="1" s="1"/>
  <c r="Q202" i="1"/>
  <c r="V202" i="1" s="1"/>
  <c r="Q201" i="1"/>
  <c r="V201" i="1" s="1"/>
  <c r="W201" i="1" s="1"/>
  <c r="Q200" i="1"/>
  <c r="V200" i="1" s="1"/>
  <c r="Q199" i="1"/>
  <c r="V199" i="1" s="1"/>
  <c r="Q198" i="1"/>
  <c r="V198" i="1" s="1"/>
  <c r="W198" i="1" s="1"/>
  <c r="Q197" i="1"/>
  <c r="V197" i="1" s="1"/>
  <c r="Q195" i="1"/>
  <c r="V195" i="1" s="1"/>
  <c r="Q194" i="1"/>
  <c r="V194" i="1" s="1"/>
  <c r="W194" i="1" s="1"/>
  <c r="Q193" i="1"/>
  <c r="V193" i="1" s="1"/>
  <c r="Q191" i="1"/>
  <c r="V191" i="1" s="1"/>
  <c r="W191" i="1" s="1"/>
  <c r="Q189" i="1"/>
  <c r="V189" i="1" s="1"/>
  <c r="W189" i="1" s="1"/>
  <c r="Q188" i="1"/>
  <c r="V188" i="1" s="1"/>
  <c r="W188" i="1" s="1"/>
  <c r="Q187" i="1"/>
  <c r="Q185" i="1"/>
  <c r="V185" i="1" s="1"/>
  <c r="Q182" i="1"/>
  <c r="V182" i="1" s="1"/>
  <c r="Q181" i="1"/>
  <c r="V181" i="1" s="1"/>
  <c r="Q180" i="1"/>
  <c r="Q179" i="1"/>
  <c r="V179" i="1" s="1"/>
  <c r="Q178" i="1"/>
  <c r="Q177" i="1"/>
  <c r="Q176" i="1"/>
  <c r="V176" i="1" s="1"/>
  <c r="W176" i="1" s="1"/>
  <c r="Q175" i="1"/>
  <c r="V175" i="1" s="1"/>
  <c r="Q174" i="1"/>
  <c r="V174" i="1" s="1"/>
  <c r="W174" i="1" s="1"/>
  <c r="Q173" i="1"/>
  <c r="V173" i="1" s="1"/>
  <c r="Q172" i="1"/>
  <c r="V172" i="1" s="1"/>
  <c r="Q171" i="1"/>
  <c r="V171" i="1" s="1"/>
  <c r="Q170" i="1"/>
  <c r="V170" i="1" s="1"/>
  <c r="Q169" i="1"/>
  <c r="Q168" i="1"/>
  <c r="V168" i="1" s="1"/>
  <c r="W168" i="1" s="1"/>
  <c r="Q167" i="1"/>
  <c r="V167" i="1" s="1"/>
  <c r="W167" i="1" s="1"/>
  <c r="Q166" i="1"/>
  <c r="Q165" i="1"/>
  <c r="V165" i="1" s="1"/>
  <c r="W165" i="1" s="1"/>
  <c r="Q164" i="1"/>
  <c r="V164" i="1" s="1"/>
  <c r="W164" i="1" s="1"/>
  <c r="Q163" i="1"/>
  <c r="V163" i="1" s="1"/>
  <c r="Q162" i="1"/>
  <c r="Q161" i="1"/>
  <c r="V161" i="1" s="1"/>
  <c r="W161" i="1" s="1"/>
  <c r="Q160" i="1"/>
  <c r="Q159" i="1"/>
  <c r="V159" i="1" s="1"/>
  <c r="Q158" i="1"/>
  <c r="V158" i="1" s="1"/>
  <c r="W158" i="1" s="1"/>
  <c r="Q157" i="1"/>
  <c r="Q156" i="1"/>
  <c r="Q155" i="1"/>
  <c r="V155" i="1" s="1"/>
  <c r="Q154" i="1"/>
  <c r="Q153" i="1"/>
  <c r="V153" i="1" s="1"/>
  <c r="Q152" i="1"/>
  <c r="V152" i="1" s="1"/>
  <c r="Q151" i="1"/>
  <c r="V151" i="1" s="1"/>
  <c r="W151" i="1" s="1"/>
  <c r="Q149" i="1"/>
  <c r="V149" i="1" s="1"/>
  <c r="W149" i="1" s="1"/>
  <c r="Q148" i="1"/>
  <c r="Q147" i="1"/>
  <c r="V147" i="1" s="1"/>
  <c r="W147" i="1" s="1"/>
  <c r="Q146" i="1"/>
  <c r="Q145" i="1"/>
  <c r="V145" i="1" s="1"/>
  <c r="W145" i="1" s="1"/>
  <c r="Q144" i="1"/>
  <c r="Q143" i="1"/>
  <c r="V143" i="1" s="1"/>
  <c r="W143" i="1" s="1"/>
  <c r="Y143" i="1" s="1"/>
  <c r="Q142" i="1"/>
  <c r="V142" i="1" s="1"/>
  <c r="Q141" i="1"/>
  <c r="V141" i="1" s="1"/>
  <c r="W141" i="1" s="1"/>
  <c r="Q140" i="1"/>
  <c r="V140" i="1" s="1"/>
  <c r="W140" i="1" s="1"/>
  <c r="Q139" i="1"/>
  <c r="Q138" i="1"/>
  <c r="Q137" i="1"/>
  <c r="V137" i="1" s="1"/>
  <c r="Q135" i="1"/>
  <c r="V135" i="1" s="1"/>
  <c r="Q134" i="1"/>
  <c r="Q133" i="1"/>
  <c r="Q130" i="1"/>
  <c r="V130" i="1" s="1"/>
  <c r="W130" i="1" s="1"/>
  <c r="Q129" i="1"/>
  <c r="V129" i="1" s="1"/>
  <c r="W129" i="1" s="1"/>
  <c r="Q128" i="1"/>
  <c r="V128" i="1" s="1"/>
  <c r="W128" i="1" s="1"/>
  <c r="Q127" i="1"/>
  <c r="V127" i="1" s="1"/>
  <c r="Q126" i="1"/>
  <c r="V126" i="1" s="1"/>
  <c r="W126" i="1" s="1"/>
  <c r="Q125" i="1"/>
  <c r="V125" i="1" s="1"/>
  <c r="W125" i="1" s="1"/>
  <c r="Q124" i="1"/>
  <c r="V124" i="1" s="1"/>
  <c r="Q123" i="1"/>
  <c r="V123" i="1" s="1"/>
  <c r="Q122" i="1"/>
  <c r="V122" i="1" s="1"/>
  <c r="W122" i="1" s="1"/>
  <c r="Q120" i="1"/>
  <c r="V120" i="1" s="1"/>
  <c r="Q119" i="1"/>
  <c r="Q118" i="1"/>
  <c r="V118" i="1" s="1"/>
  <c r="W118" i="1" s="1"/>
  <c r="Q117" i="1"/>
  <c r="V117" i="1" s="1"/>
  <c r="Q116" i="1"/>
  <c r="V116" i="1" s="1"/>
  <c r="Q115" i="1"/>
  <c r="Q114" i="1"/>
  <c r="V114" i="1" s="1"/>
  <c r="W114" i="1" s="1"/>
  <c r="Q113" i="1"/>
  <c r="Q112" i="1"/>
  <c r="V112" i="1" s="1"/>
  <c r="Q111" i="1"/>
  <c r="Q110" i="1"/>
  <c r="Q109" i="1"/>
  <c r="V109" i="1" s="1"/>
  <c r="Q108" i="1"/>
  <c r="V108" i="1" s="1"/>
  <c r="Q107" i="1"/>
  <c r="V107" i="1" s="1"/>
  <c r="Q105" i="1"/>
  <c r="V105" i="1" s="1"/>
  <c r="W105" i="1" s="1"/>
  <c r="Q104" i="1"/>
  <c r="V104" i="1" s="1"/>
  <c r="Q103" i="1"/>
  <c r="V103" i="1" s="1"/>
  <c r="Q102" i="1"/>
  <c r="V102" i="1" s="1"/>
  <c r="Q101" i="1"/>
  <c r="V101" i="1" s="1"/>
  <c r="Q100" i="1"/>
  <c r="V100" i="1" s="1"/>
  <c r="Q99" i="1"/>
  <c r="Q98" i="1"/>
  <c r="Q97" i="1"/>
  <c r="V97" i="1" s="1"/>
  <c r="Q95" i="1"/>
  <c r="V95" i="1" s="1"/>
  <c r="W95" i="1" s="1"/>
  <c r="Q94" i="1"/>
  <c r="Q93" i="1"/>
  <c r="Q92" i="1"/>
  <c r="V92" i="1" s="1"/>
  <c r="Q91" i="1"/>
  <c r="V91" i="1" s="1"/>
  <c r="W91" i="1" s="1"/>
  <c r="Q90" i="1"/>
  <c r="Q88" i="1"/>
  <c r="V88" i="1" s="1"/>
  <c r="Q86" i="1"/>
  <c r="V86" i="1" s="1"/>
  <c r="Q85" i="1"/>
  <c r="V85" i="1" s="1"/>
  <c r="W85" i="1" s="1"/>
  <c r="Q84" i="1"/>
  <c r="Q83" i="1"/>
  <c r="V83" i="1" s="1"/>
  <c r="Q82" i="1"/>
  <c r="Q81" i="1"/>
  <c r="Q80" i="1"/>
  <c r="V80" i="1" s="1"/>
  <c r="Q79" i="1"/>
  <c r="V79" i="1" s="1"/>
  <c r="W79" i="1" s="1"/>
  <c r="Q78" i="1"/>
  <c r="V78" i="1" s="1"/>
  <c r="W78" i="1" s="1"/>
  <c r="Q77" i="1"/>
  <c r="V77" i="1" s="1"/>
  <c r="Q74" i="1"/>
  <c r="Q73" i="1"/>
  <c r="Q71" i="1"/>
  <c r="Q70" i="1"/>
  <c r="V70" i="1" s="1"/>
  <c r="Q69" i="1"/>
  <c r="V69" i="1" s="1"/>
  <c r="Q68" i="1"/>
  <c r="Q67" i="1"/>
  <c r="V67" i="1" s="1"/>
  <c r="Q66" i="1"/>
  <c r="V66" i="1" s="1"/>
  <c r="Q65" i="1"/>
  <c r="V65" i="1" s="1"/>
  <c r="W65" i="1" s="1"/>
  <c r="Q64" i="1"/>
  <c r="V64" i="1" s="1"/>
  <c r="Q63" i="1"/>
  <c r="Q62" i="1"/>
  <c r="V62" i="1" s="1"/>
  <c r="Q61" i="1"/>
  <c r="V61" i="1" s="1"/>
  <c r="Q60" i="1"/>
  <c r="Q59" i="1"/>
  <c r="V59" i="1" s="1"/>
  <c r="Q58" i="1"/>
  <c r="V58" i="1" s="1"/>
  <c r="Q57" i="1"/>
  <c r="V57" i="1" s="1"/>
  <c r="Q56" i="1"/>
  <c r="Q54" i="1"/>
  <c r="V54" i="1" s="1"/>
  <c r="W54" i="1" s="1"/>
  <c r="Q53" i="1"/>
  <c r="Q52" i="1"/>
  <c r="Q51" i="1"/>
  <c r="V51" i="1" s="1"/>
  <c r="W51" i="1" s="1"/>
  <c r="Q50" i="1"/>
  <c r="V50" i="1" s="1"/>
  <c r="Q49" i="1"/>
  <c r="Q48" i="1"/>
  <c r="V48" i="1" s="1"/>
  <c r="W48" i="1" s="1"/>
  <c r="Q47" i="1"/>
  <c r="Q46" i="1"/>
  <c r="Q45" i="1"/>
  <c r="V45" i="1" s="1"/>
  <c r="Q44" i="1"/>
  <c r="V44" i="1" s="1"/>
  <c r="W44" i="1" s="1"/>
  <c r="Q43" i="1"/>
  <c r="V43" i="1" s="1"/>
  <c r="Q42" i="1"/>
  <c r="V42" i="1" s="1"/>
  <c r="W42" i="1" s="1"/>
  <c r="Q41" i="1"/>
  <c r="V41" i="1" s="1"/>
  <c r="Q40" i="1"/>
  <c r="V40" i="1" s="1"/>
  <c r="Q39" i="1"/>
  <c r="V39" i="1" s="1"/>
  <c r="W39" i="1" s="1"/>
  <c r="Q37" i="1"/>
  <c r="Q36" i="1"/>
  <c r="V36" i="1" s="1"/>
  <c r="W36" i="1" s="1"/>
  <c r="Q35" i="1"/>
  <c r="Q34" i="1"/>
  <c r="Q33" i="1"/>
  <c r="Q32" i="1"/>
  <c r="Q31" i="1"/>
  <c r="Q30" i="1"/>
  <c r="Q29" i="1"/>
  <c r="V29" i="1" s="1"/>
  <c r="W29" i="1" s="1"/>
  <c r="Q28" i="1"/>
  <c r="V28" i="1" s="1"/>
  <c r="W28" i="1" s="1"/>
  <c r="Q27" i="1"/>
  <c r="V27" i="1" s="1"/>
  <c r="Q26" i="1"/>
  <c r="V26" i="1" s="1"/>
  <c r="Q25" i="1"/>
  <c r="V25" i="1" s="1"/>
  <c r="Q24" i="1"/>
  <c r="V24" i="1" s="1"/>
  <c r="Q23" i="1"/>
  <c r="V23" i="1" s="1"/>
  <c r="Q22" i="1"/>
  <c r="V22" i="1" s="1"/>
  <c r="W22" i="1" s="1"/>
  <c r="Q20" i="1"/>
  <c r="V20" i="1" s="1"/>
  <c r="W20" i="1" s="1"/>
  <c r="Q19" i="1"/>
  <c r="Q18" i="1"/>
  <c r="Q17" i="1"/>
  <c r="Q16" i="1"/>
  <c r="V16" i="1" s="1"/>
  <c r="Q15" i="1"/>
  <c r="V15" i="1" s="1"/>
  <c r="Q14" i="1"/>
  <c r="V14" i="1" s="1"/>
  <c r="Q13" i="1"/>
  <c r="Q12" i="1"/>
  <c r="V12" i="1" s="1"/>
  <c r="Q11" i="1"/>
  <c r="V11" i="1" s="1"/>
  <c r="Q10" i="1"/>
  <c r="V10" i="1" s="1"/>
  <c r="W10" i="1" s="1"/>
  <c r="Q9" i="1"/>
  <c r="Q8" i="1"/>
  <c r="V8" i="1" s="1"/>
  <c r="W8" i="1" s="1"/>
  <c r="Q7" i="1"/>
  <c r="V7" i="1" s="1"/>
  <c r="W7" i="1" s="1"/>
  <c r="Q6" i="1"/>
  <c r="V6" i="1" s="1"/>
  <c r="W6" i="1" s="1"/>
  <c r="Q5" i="1"/>
  <c r="V5" i="1" s="1"/>
  <c r="Q4" i="1"/>
  <c r="O244" i="1"/>
  <c r="O245" i="1" s="1"/>
  <c r="M244" i="1"/>
  <c r="F9" i="2" l="1"/>
  <c r="F11" i="2" s="1"/>
  <c r="F13" i="2" s="1"/>
  <c r="E9" i="2"/>
  <c r="V160" i="1"/>
  <c r="W160" i="1" s="1"/>
  <c r="V90" i="1"/>
  <c r="W90" i="1" s="1"/>
  <c r="V4" i="1"/>
  <c r="P244" i="1"/>
  <c r="Q244" i="1"/>
  <c r="T213" i="1"/>
  <c r="T202" i="1"/>
  <c r="T178" i="1"/>
  <c r="T159" i="1"/>
  <c r="T156" i="1"/>
  <c r="T144" i="1"/>
  <c r="T125" i="1"/>
  <c r="T108" i="1"/>
  <c r="T102" i="1"/>
  <c r="T90" i="1"/>
  <c r="T87" i="1"/>
  <c r="T84" i="1"/>
  <c r="T69" i="1"/>
  <c r="T64" i="1"/>
  <c r="T63" i="1"/>
  <c r="T61" i="1"/>
  <c r="T58" i="1"/>
  <c r="T57" i="1"/>
  <c r="T42" i="1"/>
  <c r="T41" i="1"/>
  <c r="T37" i="1"/>
  <c r="G230" i="1"/>
  <c r="L230" i="1"/>
  <c r="U230" i="1"/>
  <c r="G185" i="1"/>
  <c r="L185" i="1"/>
  <c r="U185" i="1"/>
  <c r="G142" i="1"/>
  <c r="L142" i="1"/>
  <c r="U142" i="1"/>
  <c r="G117" i="1"/>
  <c r="L117" i="1"/>
  <c r="U117" i="1"/>
  <c r="G91" i="1"/>
  <c r="L91" i="1"/>
  <c r="U91" i="1"/>
  <c r="G77" i="1"/>
  <c r="L77" i="1"/>
  <c r="U77" i="1"/>
  <c r="G70" i="1"/>
  <c r="L70" i="1"/>
  <c r="U70" i="1"/>
  <c r="G66" i="1"/>
  <c r="L66" i="1"/>
  <c r="U66" i="1"/>
  <c r="B7" i="2"/>
  <c r="B4" i="2"/>
  <c r="G148" i="1"/>
  <c r="L148" i="1"/>
  <c r="V148" i="1" s="1"/>
  <c r="W148" i="1" s="1"/>
  <c r="Y148" i="1" s="1"/>
  <c r="U148" i="1"/>
  <c r="G82" i="1"/>
  <c r="L82" i="1"/>
  <c r="V82" i="1" s="1"/>
  <c r="W82" i="1" s="1"/>
  <c r="U82" i="1"/>
  <c r="U81" i="1"/>
  <c r="L81" i="1"/>
  <c r="V81" i="1" s="1"/>
  <c r="W81" i="1" s="1"/>
  <c r="G81" i="1"/>
  <c r="L6" i="1"/>
  <c r="L7" i="1"/>
  <c r="L8" i="1"/>
  <c r="L9" i="1"/>
  <c r="V9" i="1" s="1"/>
  <c r="W9" i="1" s="1"/>
  <c r="L10" i="1"/>
  <c r="L11" i="1"/>
  <c r="L12" i="1"/>
  <c r="L13" i="1"/>
  <c r="V13" i="1" s="1"/>
  <c r="L14" i="1"/>
  <c r="L15" i="1"/>
  <c r="L16" i="1"/>
  <c r="L17" i="1"/>
  <c r="V17" i="1" s="1"/>
  <c r="W17" i="1" s="1"/>
  <c r="L18" i="1"/>
  <c r="V18" i="1" s="1"/>
  <c r="W18" i="1" s="1"/>
  <c r="L19" i="1"/>
  <c r="V19" i="1" s="1"/>
  <c r="W19" i="1" s="1"/>
  <c r="L20" i="1"/>
  <c r="L21" i="1"/>
  <c r="L22" i="1"/>
  <c r="L23" i="1"/>
  <c r="L24" i="1"/>
  <c r="L25" i="1"/>
  <c r="L26" i="1"/>
  <c r="L27" i="1"/>
  <c r="L28" i="1"/>
  <c r="L29" i="1"/>
  <c r="L30" i="1"/>
  <c r="V30" i="1" s="1"/>
  <c r="W30" i="1" s="1"/>
  <c r="L31" i="1"/>
  <c r="V31" i="1" s="1"/>
  <c r="L32" i="1"/>
  <c r="V32" i="1" s="1"/>
  <c r="W32" i="1" s="1"/>
  <c r="L33" i="1"/>
  <c r="V33" i="1" s="1"/>
  <c r="W33" i="1" s="1"/>
  <c r="L34" i="1"/>
  <c r="V34" i="1" s="1"/>
  <c r="W34" i="1" s="1"/>
  <c r="L35" i="1"/>
  <c r="V35" i="1" s="1"/>
  <c r="L36" i="1"/>
  <c r="L37" i="1"/>
  <c r="V37" i="1" s="1"/>
  <c r="W37" i="1" s="1"/>
  <c r="L38" i="1"/>
  <c r="V38" i="1" s="1"/>
  <c r="W38" i="1" s="1"/>
  <c r="L39" i="1"/>
  <c r="L40" i="1"/>
  <c r="L41" i="1"/>
  <c r="L42" i="1"/>
  <c r="L43" i="1"/>
  <c r="L44" i="1"/>
  <c r="L45" i="1"/>
  <c r="L46" i="1"/>
  <c r="V46" i="1" s="1"/>
  <c r="W46" i="1" s="1"/>
  <c r="L47" i="1"/>
  <c r="V47" i="1" s="1"/>
  <c r="W47" i="1" s="1"/>
  <c r="L48" i="1"/>
  <c r="L49" i="1"/>
  <c r="V49" i="1" s="1"/>
  <c r="W49" i="1" s="1"/>
  <c r="L50" i="1"/>
  <c r="L51" i="1"/>
  <c r="L52" i="1"/>
  <c r="V52" i="1" s="1"/>
  <c r="L53" i="1"/>
  <c r="V53" i="1" s="1"/>
  <c r="W53" i="1" s="1"/>
  <c r="L54" i="1"/>
  <c r="L55" i="1"/>
  <c r="V55" i="1" s="1"/>
  <c r="W55" i="1" s="1"/>
  <c r="L56" i="1"/>
  <c r="V56" i="1" s="1"/>
  <c r="W56" i="1" s="1"/>
  <c r="L57" i="1"/>
  <c r="L58" i="1"/>
  <c r="L59" i="1"/>
  <c r="L60" i="1"/>
  <c r="V60" i="1" s="1"/>
  <c r="W60" i="1" s="1"/>
  <c r="L61" i="1"/>
  <c r="L62" i="1"/>
  <c r="L63" i="1"/>
  <c r="V63" i="1" s="1"/>
  <c r="W63" i="1" s="1"/>
  <c r="L64" i="1"/>
  <c r="L65" i="1"/>
  <c r="L67" i="1"/>
  <c r="L68" i="1"/>
  <c r="V68" i="1" s="1"/>
  <c r="W68" i="1" s="1"/>
  <c r="L69" i="1"/>
  <c r="L71" i="1"/>
  <c r="V71" i="1" s="1"/>
  <c r="W71" i="1" s="1"/>
  <c r="L73" i="1"/>
  <c r="V73" i="1" s="1"/>
  <c r="W73" i="1" s="1"/>
  <c r="L74" i="1"/>
  <c r="V74" i="1" s="1"/>
  <c r="W74" i="1" s="1"/>
  <c r="L75" i="1"/>
  <c r="V75" i="1" s="1"/>
  <c r="W75" i="1" s="1"/>
  <c r="L76" i="1"/>
  <c r="L78" i="1"/>
  <c r="L79" i="1"/>
  <c r="L80" i="1"/>
  <c r="L83" i="1"/>
  <c r="L84" i="1"/>
  <c r="V84" i="1" s="1"/>
  <c r="W84" i="1" s="1"/>
  <c r="L85" i="1"/>
  <c r="L86" i="1"/>
  <c r="L87" i="1"/>
  <c r="L89" i="1"/>
  <c r="L90" i="1"/>
  <c r="L92" i="1"/>
  <c r="L93" i="1"/>
  <c r="V93" i="1" s="1"/>
  <c r="W93" i="1" s="1"/>
  <c r="L94" i="1"/>
  <c r="V94" i="1" s="1"/>
  <c r="W94" i="1" s="1"/>
  <c r="L95" i="1"/>
  <c r="L97" i="1"/>
  <c r="L98" i="1"/>
  <c r="V98" i="1" s="1"/>
  <c r="W98" i="1" s="1"/>
  <c r="L99" i="1"/>
  <c r="V99" i="1" s="1"/>
  <c r="W99" i="1" s="1"/>
  <c r="L100" i="1"/>
  <c r="L101" i="1"/>
  <c r="L102" i="1"/>
  <c r="L103" i="1"/>
  <c r="L104" i="1"/>
  <c r="L105" i="1"/>
  <c r="L107" i="1"/>
  <c r="L108" i="1"/>
  <c r="L109" i="1"/>
  <c r="L110" i="1"/>
  <c r="V110" i="1" s="1"/>
  <c r="W110" i="1" s="1"/>
  <c r="L111" i="1"/>
  <c r="V111" i="1" s="1"/>
  <c r="W111" i="1" s="1"/>
  <c r="L112" i="1"/>
  <c r="L113" i="1"/>
  <c r="V113" i="1" s="1"/>
  <c r="W113" i="1" s="1"/>
  <c r="L114" i="1"/>
  <c r="L115" i="1"/>
  <c r="V115" i="1" s="1"/>
  <c r="W115" i="1" s="1"/>
  <c r="L116" i="1"/>
  <c r="L118" i="1"/>
  <c r="L119" i="1"/>
  <c r="V119" i="1" s="1"/>
  <c r="W119" i="1" s="1"/>
  <c r="L120" i="1"/>
  <c r="L121" i="1"/>
  <c r="L122" i="1"/>
  <c r="L123" i="1"/>
  <c r="L124" i="1"/>
  <c r="L125" i="1"/>
  <c r="L126" i="1"/>
  <c r="L127" i="1"/>
  <c r="L128" i="1"/>
  <c r="L129" i="1"/>
  <c r="L130" i="1"/>
  <c r="L133" i="1"/>
  <c r="V133" i="1" s="1"/>
  <c r="W133" i="1" s="1"/>
  <c r="L134" i="1"/>
  <c r="V134" i="1" s="1"/>
  <c r="W134" i="1" s="1"/>
  <c r="L135" i="1"/>
  <c r="L137" i="1"/>
  <c r="L138" i="1"/>
  <c r="V138" i="1" s="1"/>
  <c r="W138" i="1" s="1"/>
  <c r="L139" i="1"/>
  <c r="V139" i="1" s="1"/>
  <c r="W139" i="1" s="1"/>
  <c r="L140" i="1"/>
  <c r="L141" i="1"/>
  <c r="L143" i="1"/>
  <c r="L144" i="1"/>
  <c r="V144" i="1" s="1"/>
  <c r="W144" i="1" s="1"/>
  <c r="L145" i="1"/>
  <c r="L146" i="1"/>
  <c r="V146" i="1" s="1"/>
  <c r="W146" i="1" s="1"/>
  <c r="L147" i="1"/>
  <c r="L149" i="1"/>
  <c r="L151" i="1"/>
  <c r="L152" i="1"/>
  <c r="L153" i="1"/>
  <c r="L154" i="1"/>
  <c r="V154" i="1" s="1"/>
  <c r="W154" i="1" s="1"/>
  <c r="L155" i="1"/>
  <c r="L156" i="1"/>
  <c r="V156" i="1" s="1"/>
  <c r="W156" i="1" s="1"/>
  <c r="L157" i="1"/>
  <c r="V157" i="1" s="1"/>
  <c r="L158" i="1"/>
  <c r="L159" i="1"/>
  <c r="L160" i="1"/>
  <c r="L161" i="1"/>
  <c r="L162" i="1"/>
  <c r="V162" i="1" s="1"/>
  <c r="W162" i="1" s="1"/>
  <c r="L163" i="1"/>
  <c r="L164" i="1"/>
  <c r="L165" i="1"/>
  <c r="L166" i="1"/>
  <c r="V166" i="1" s="1"/>
  <c r="W166" i="1" s="1"/>
  <c r="L167" i="1"/>
  <c r="L168" i="1"/>
  <c r="L169" i="1"/>
  <c r="V169" i="1" s="1"/>
  <c r="W169" i="1" s="1"/>
  <c r="L170" i="1"/>
  <c r="L171" i="1"/>
  <c r="L172" i="1"/>
  <c r="L173" i="1"/>
  <c r="L174" i="1"/>
  <c r="L175" i="1"/>
  <c r="L176" i="1"/>
  <c r="L177" i="1"/>
  <c r="V177" i="1" s="1"/>
  <c r="W177" i="1" s="1"/>
  <c r="L178" i="1"/>
  <c r="V178" i="1" s="1"/>
  <c r="W178" i="1" s="1"/>
  <c r="L179" i="1"/>
  <c r="L180" i="1"/>
  <c r="V180" i="1" s="1"/>
  <c r="W180" i="1" s="1"/>
  <c r="L181" i="1"/>
  <c r="L182" i="1"/>
  <c r="L187" i="1"/>
  <c r="V187" i="1" s="1"/>
  <c r="W187" i="1" s="1"/>
  <c r="L188" i="1"/>
  <c r="L189" i="1"/>
  <c r="L191" i="1"/>
  <c r="L192" i="1"/>
  <c r="L193" i="1"/>
  <c r="L194" i="1"/>
  <c r="L195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2" i="1"/>
  <c r="L213" i="1"/>
  <c r="V213" i="1" s="1"/>
  <c r="W213" i="1" s="1"/>
  <c r="L214" i="1"/>
  <c r="V214" i="1" s="1"/>
  <c r="W214" i="1" s="1"/>
  <c r="L216" i="1"/>
  <c r="L217" i="1"/>
  <c r="L218" i="1"/>
  <c r="V218" i="1" s="1"/>
  <c r="W218" i="1" s="1"/>
  <c r="L219" i="1"/>
  <c r="L220" i="1"/>
  <c r="L224" i="1"/>
  <c r="L225" i="1"/>
  <c r="V225" i="1" s="1"/>
  <c r="L226" i="1"/>
  <c r="V226" i="1" s="1"/>
  <c r="W226" i="1" s="1"/>
  <c r="L227" i="1"/>
  <c r="V227" i="1" s="1"/>
  <c r="W227" i="1" s="1"/>
  <c r="L229" i="1"/>
  <c r="L231" i="1"/>
  <c r="L232" i="1"/>
  <c r="L233" i="1"/>
  <c r="L234" i="1"/>
  <c r="L235" i="1"/>
  <c r="L236" i="1"/>
  <c r="V236" i="1" s="1"/>
  <c r="W236" i="1" s="1"/>
  <c r="L237" i="1"/>
  <c r="V237" i="1" s="1"/>
  <c r="W237" i="1" s="1"/>
  <c r="L238" i="1"/>
  <c r="L239" i="1"/>
  <c r="L240" i="1"/>
  <c r="L241" i="1"/>
  <c r="V241" i="1" s="1"/>
  <c r="W241" i="1" s="1"/>
  <c r="L242" i="1"/>
  <c r="L243" i="1"/>
  <c r="L4" i="1"/>
  <c r="G6" i="2" l="1"/>
  <c r="G9" i="2"/>
  <c r="G8" i="2"/>
  <c r="G7" i="2"/>
  <c r="D24" i="2"/>
  <c r="D23" i="2"/>
  <c r="D21" i="2"/>
  <c r="D20" i="2"/>
  <c r="D18" i="2"/>
  <c r="D19" i="2"/>
  <c r="B6" i="2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7" i="1"/>
  <c r="U68" i="1"/>
  <c r="U69" i="1"/>
  <c r="U71" i="1"/>
  <c r="U73" i="1"/>
  <c r="U74" i="1"/>
  <c r="U75" i="1"/>
  <c r="U76" i="1"/>
  <c r="U78" i="1"/>
  <c r="U79" i="1"/>
  <c r="U80" i="1"/>
  <c r="U83" i="1"/>
  <c r="U84" i="1"/>
  <c r="U85" i="1"/>
  <c r="U86" i="1"/>
  <c r="U87" i="1"/>
  <c r="U89" i="1"/>
  <c r="U90" i="1"/>
  <c r="U92" i="1"/>
  <c r="U93" i="1"/>
  <c r="U94" i="1"/>
  <c r="U95" i="1"/>
  <c r="U97" i="1"/>
  <c r="U98" i="1"/>
  <c r="U99" i="1"/>
  <c r="U100" i="1"/>
  <c r="U101" i="1"/>
  <c r="U102" i="1"/>
  <c r="U103" i="1"/>
  <c r="U104" i="1"/>
  <c r="U105" i="1"/>
  <c r="U107" i="1"/>
  <c r="U108" i="1"/>
  <c r="U109" i="1"/>
  <c r="U110" i="1"/>
  <c r="U111" i="1"/>
  <c r="U112" i="1"/>
  <c r="U113" i="1"/>
  <c r="U114" i="1"/>
  <c r="U115" i="1"/>
  <c r="U116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3" i="1"/>
  <c r="U134" i="1"/>
  <c r="U135" i="1"/>
  <c r="U137" i="1"/>
  <c r="U138" i="1"/>
  <c r="U139" i="1"/>
  <c r="U140" i="1"/>
  <c r="U141" i="1"/>
  <c r="U143" i="1"/>
  <c r="U144" i="1"/>
  <c r="U145" i="1"/>
  <c r="U146" i="1"/>
  <c r="U147" i="1"/>
  <c r="U149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7" i="1"/>
  <c r="U188" i="1"/>
  <c r="U189" i="1"/>
  <c r="U191" i="1"/>
  <c r="U192" i="1"/>
  <c r="U193" i="1"/>
  <c r="U194" i="1"/>
  <c r="U195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2" i="1"/>
  <c r="U213" i="1"/>
  <c r="U214" i="1"/>
  <c r="U216" i="1"/>
  <c r="U217" i="1"/>
  <c r="U218" i="1"/>
  <c r="U219" i="1"/>
  <c r="U220" i="1"/>
  <c r="U224" i="1"/>
  <c r="U225" i="1"/>
  <c r="U226" i="1"/>
  <c r="U227" i="1"/>
  <c r="U229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4" i="1"/>
  <c r="K244" i="1"/>
  <c r="C7" i="2" s="1"/>
  <c r="H244" i="1"/>
  <c r="F244" i="1"/>
  <c r="E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29" i="1"/>
  <c r="G227" i="1"/>
  <c r="G226" i="1"/>
  <c r="G225" i="1"/>
  <c r="G224" i="1"/>
  <c r="G220" i="1"/>
  <c r="G219" i="1"/>
  <c r="G218" i="1"/>
  <c r="G217" i="1"/>
  <c r="G214" i="1"/>
  <c r="G213" i="1"/>
  <c r="G212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5" i="1"/>
  <c r="G194" i="1"/>
  <c r="G193" i="1"/>
  <c r="G192" i="1"/>
  <c r="G191" i="1"/>
  <c r="G189" i="1"/>
  <c r="G188" i="1"/>
  <c r="G187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49" i="1"/>
  <c r="G147" i="1"/>
  <c r="G146" i="1"/>
  <c r="G145" i="1"/>
  <c r="G144" i="1"/>
  <c r="G143" i="1"/>
  <c r="G141" i="1"/>
  <c r="G140" i="1"/>
  <c r="G139" i="1"/>
  <c r="G138" i="1"/>
  <c r="G137" i="1"/>
  <c r="G135" i="1"/>
  <c r="G134" i="1"/>
  <c r="G133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6" i="1"/>
  <c r="G115" i="1"/>
  <c r="G114" i="1"/>
  <c r="G113" i="1"/>
  <c r="G112" i="1"/>
  <c r="G111" i="1"/>
  <c r="G110" i="1"/>
  <c r="G109" i="1"/>
  <c r="G108" i="1"/>
  <c r="G107" i="1"/>
  <c r="G105" i="1"/>
  <c r="G104" i="1"/>
  <c r="G103" i="1"/>
  <c r="G102" i="1"/>
  <c r="G101" i="1"/>
  <c r="G100" i="1"/>
  <c r="G98" i="1"/>
  <c r="G97" i="1"/>
  <c r="G95" i="1"/>
  <c r="G94" i="1"/>
  <c r="G93" i="1"/>
  <c r="G92" i="1"/>
  <c r="G90" i="1"/>
  <c r="G89" i="1"/>
  <c r="G87" i="1"/>
  <c r="G86" i="1"/>
  <c r="G85" i="1"/>
  <c r="G84" i="1"/>
  <c r="G83" i="1"/>
  <c r="G80" i="1"/>
  <c r="G79" i="1"/>
  <c r="G78" i="1"/>
  <c r="G76" i="1"/>
  <c r="G75" i="1"/>
  <c r="G74" i="1"/>
  <c r="G73" i="1"/>
  <c r="G71" i="1"/>
  <c r="G69" i="1"/>
  <c r="G68" i="1"/>
  <c r="G67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1" i="1"/>
  <c r="G10" i="1"/>
  <c r="G9" i="1"/>
  <c r="G8" i="1"/>
  <c r="G7" i="1"/>
  <c r="G6" i="1"/>
  <c r="G4" i="1"/>
  <c r="D22" i="2" l="1"/>
  <c r="D25" i="2" s="1"/>
  <c r="H21" i="2"/>
  <c r="H19" i="2"/>
  <c r="G244" i="1"/>
  <c r="C5" i="2" s="1"/>
  <c r="L244" i="1"/>
  <c r="C6" i="2" s="1"/>
  <c r="C12" i="4"/>
  <c r="B12" i="4"/>
  <c r="C9" i="2" l="1"/>
  <c r="D8" i="2" s="1"/>
  <c r="B5" i="2"/>
  <c r="B5" i="3" l="1"/>
  <c r="B3" i="3"/>
  <c r="B4" i="3"/>
  <c r="A29" i="2"/>
  <c r="F17" i="2" l="1"/>
  <c r="B246" i="1"/>
  <c r="B31" i="2"/>
  <c r="B9" i="2"/>
  <c r="T244" i="1"/>
  <c r="D244" i="1"/>
  <c r="J244" i="1"/>
  <c r="R244" i="1"/>
  <c r="C30" i="2" l="1"/>
  <c r="C13" i="4"/>
  <c r="C4" i="2"/>
  <c r="B13" i="4"/>
  <c r="C31" i="2"/>
  <c r="U244" i="1"/>
  <c r="D6" i="2" l="1"/>
  <c r="D9" i="2"/>
  <c r="D7" i="2"/>
  <c r="E31" i="2"/>
  <c r="F31" i="2" s="1"/>
  <c r="C35" i="2"/>
  <c r="V244" i="1"/>
  <c r="C7" i="4" l="1"/>
  <c r="C5" i="4"/>
  <c r="B5" i="4"/>
  <c r="E5" i="4"/>
  <c r="C8" i="4"/>
  <c r="E7" i="4"/>
  <c r="B4" i="4"/>
  <c r="B8" i="4"/>
  <c r="B6" i="4"/>
  <c r="B7" i="4"/>
  <c r="C6" i="4"/>
  <c r="C4" i="4"/>
  <c r="E35" i="2"/>
  <c r="F35" i="2" s="1"/>
  <c r="C9" i="4" l="1"/>
  <c r="D6" i="4" s="1"/>
  <c r="B9" i="4"/>
  <c r="D12" i="4" s="1"/>
  <c r="D13" i="4" l="1"/>
  <c r="D8" i="4"/>
  <c r="D4" i="4"/>
  <c r="D5" i="4"/>
  <c r="D7" i="4"/>
  <c r="D9" i="4" l="1"/>
</calcChain>
</file>

<file path=xl/comments1.xml><?xml version="1.0" encoding="utf-8"?>
<comments xmlns="http://schemas.openxmlformats.org/spreadsheetml/2006/main">
  <authors>
    <author>Dawn Jacobson</author>
  </authors>
  <commentList>
    <comment ref="H39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Cheryl got the pledge after I was done with this estimate so used my estimate</t>
        </r>
      </text>
    </comment>
    <comment ref="M39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Cheryl got the pledge after I was done with this estimate so used my estimate</t>
        </r>
      </text>
    </comment>
  </commentList>
</comments>
</file>

<file path=xl/sharedStrings.xml><?xml version="1.0" encoding="utf-8"?>
<sst xmlns="http://schemas.openxmlformats.org/spreadsheetml/2006/main" count="1303" uniqueCount="692">
  <si>
    <t>Last</t>
  </si>
  <si>
    <t>First</t>
  </si>
  <si>
    <t>Giving Units</t>
  </si>
  <si>
    <t>2021 Giving</t>
  </si>
  <si>
    <t>Pledge</t>
  </si>
  <si>
    <t>Sept YTD</t>
  </si>
  <si>
    <t>$</t>
  </si>
  <si>
    <t>Alton</t>
  </si>
  <si>
    <t>Timing*</t>
  </si>
  <si>
    <t>S/I/D/N**</t>
  </si>
  <si>
    <t>Anderson</t>
  </si>
  <si>
    <t>Gary &amp; Kathy</t>
  </si>
  <si>
    <t>Ashton</t>
  </si>
  <si>
    <t>Backmann</t>
  </si>
  <si>
    <t>Dave</t>
  </si>
  <si>
    <t>Bartel</t>
  </si>
  <si>
    <t>Baumgardt</t>
  </si>
  <si>
    <t>Tony &amp; Tanya</t>
  </si>
  <si>
    <t>Baylor</t>
  </si>
  <si>
    <t>Carol</t>
  </si>
  <si>
    <t>Belanger</t>
  </si>
  <si>
    <t>Shelly</t>
  </si>
  <si>
    <t>Bertlesen</t>
  </si>
  <si>
    <t>Sue</t>
  </si>
  <si>
    <t>Kari</t>
  </si>
  <si>
    <t>Bidstrup</t>
  </si>
  <si>
    <t>Betty</t>
  </si>
  <si>
    <t>Blickle</t>
  </si>
  <si>
    <t>John &amp; Barb</t>
  </si>
  <si>
    <t>Karla</t>
  </si>
  <si>
    <t>Bonnett</t>
  </si>
  <si>
    <t>Wally &amp; Lyn</t>
  </si>
  <si>
    <t>Borgardt</t>
  </si>
  <si>
    <t>Diane</t>
  </si>
  <si>
    <t>Veryl</t>
  </si>
  <si>
    <t>Bunker</t>
  </si>
  <si>
    <t>Tom &amp; Carol</t>
  </si>
  <si>
    <t>Campbell</t>
  </si>
  <si>
    <t>A</t>
  </si>
  <si>
    <t>TOTALS</t>
  </si>
  <si>
    <t>Maryjane</t>
  </si>
  <si>
    <t>W</t>
  </si>
  <si>
    <t>M</t>
  </si>
  <si>
    <t>*    A=Annual, M=Monthly, W=Weekly, B=Bi-Weekly, S=Semi Annual</t>
  </si>
  <si>
    <t>B</t>
  </si>
  <si>
    <t>Estimate</t>
  </si>
  <si>
    <t># of Giving Units</t>
  </si>
  <si>
    <t xml:space="preserve">          Pledges</t>
  </si>
  <si>
    <t xml:space="preserve">          Estimate (No Pledge)</t>
  </si>
  <si>
    <t>% chg</t>
  </si>
  <si>
    <t>$ chg</t>
  </si>
  <si>
    <t>% of Total</t>
  </si>
  <si>
    <t>Did not pledge in 2022</t>
  </si>
  <si>
    <t>Same pledge as in 2022</t>
  </si>
  <si>
    <t>Total</t>
  </si>
  <si>
    <t>Same pledge</t>
  </si>
  <si>
    <t>Increased pledge</t>
  </si>
  <si>
    <t>New pledge</t>
  </si>
  <si>
    <t>Decrease pledge</t>
  </si>
  <si>
    <t>Andreasen</t>
  </si>
  <si>
    <t>Kathy</t>
  </si>
  <si>
    <t>Barke</t>
  </si>
  <si>
    <t>Dave &amp; Vicki</t>
  </si>
  <si>
    <t>Kim &amp; Joan</t>
  </si>
  <si>
    <t>Blagec</t>
  </si>
  <si>
    <t>Bliss</t>
  </si>
  <si>
    <t>Jason &amp; DeAnn</t>
  </si>
  <si>
    <t>Christiansen</t>
  </si>
  <si>
    <t>Peggy</t>
  </si>
  <si>
    <t>Clausen</t>
  </si>
  <si>
    <t>Sandra</t>
  </si>
  <si>
    <t>Cline</t>
  </si>
  <si>
    <t>John &amp; Christy</t>
  </si>
  <si>
    <t>Curran</t>
  </si>
  <si>
    <t>Floyd and Lyn</t>
  </si>
  <si>
    <t>Nicci</t>
  </si>
  <si>
    <t>David</t>
  </si>
  <si>
    <t>Bill &amp; Judith</t>
  </si>
  <si>
    <t>DeCamp</t>
  </si>
  <si>
    <t>Jim &amp; Myrna</t>
  </si>
  <si>
    <t>DenHartigh</t>
  </si>
  <si>
    <t>Doris</t>
  </si>
  <si>
    <t>DeVito</t>
  </si>
  <si>
    <t>Cindy</t>
  </si>
  <si>
    <t>Doe</t>
  </si>
  <si>
    <t>Jamie &amp; Lynn</t>
  </si>
  <si>
    <t>Douglas</t>
  </si>
  <si>
    <t>Helen</t>
  </si>
  <si>
    <t>Dues</t>
  </si>
  <si>
    <t>Steve &amp; Connie</t>
  </si>
  <si>
    <t>Enloe</t>
  </si>
  <si>
    <t>Audrey</t>
  </si>
  <si>
    <t>Erbe</t>
  </si>
  <si>
    <t>Erickson</t>
  </si>
  <si>
    <t>Carl</t>
  </si>
  <si>
    <t>Fehl</t>
  </si>
  <si>
    <t>Fritz</t>
  </si>
  <si>
    <t>Kristin</t>
  </si>
  <si>
    <t>Gardner</t>
  </si>
  <si>
    <t>Eric &amp; Connie</t>
  </si>
  <si>
    <t>Gavigan</t>
  </si>
  <si>
    <t>Georgeson</t>
  </si>
  <si>
    <t>Jim &amp; Sandy</t>
  </si>
  <si>
    <t>Gilbertson</t>
  </si>
  <si>
    <t>Jan</t>
  </si>
  <si>
    <t>Gissell</t>
  </si>
  <si>
    <t>Bill &amp; Linda</t>
  </si>
  <si>
    <t>Grabanski</t>
  </si>
  <si>
    <t>Ed &amp; Kathy</t>
  </si>
  <si>
    <t>Gunderson</t>
  </si>
  <si>
    <t>Hauch</t>
  </si>
  <si>
    <t>Tom &amp; Mary</t>
  </si>
  <si>
    <t>Hewitt</t>
  </si>
  <si>
    <t>John</t>
  </si>
  <si>
    <t>Hjortness</t>
  </si>
  <si>
    <t>Marcella</t>
  </si>
  <si>
    <t>Hoffmann</t>
  </si>
  <si>
    <t>Ruth</t>
  </si>
  <si>
    <t>Holm</t>
  </si>
  <si>
    <t>Harold &amp; Grace</t>
  </si>
  <si>
    <t>Holz</t>
  </si>
  <si>
    <t>Huth</t>
  </si>
  <si>
    <t>Duane &amp; Barb</t>
  </si>
  <si>
    <t>Israel</t>
  </si>
  <si>
    <t>John &amp; Emily</t>
  </si>
  <si>
    <t>Jacobson</t>
  </si>
  <si>
    <t>Fred &amp; Lynette</t>
  </si>
  <si>
    <t>Steve &amp; Dawn</t>
  </si>
  <si>
    <t>Jaskulske</t>
  </si>
  <si>
    <t>Valerie</t>
  </si>
  <si>
    <t>Keszler</t>
  </si>
  <si>
    <t>Kiemen</t>
  </si>
  <si>
    <t>Joe &amp; Marilyn</t>
  </si>
  <si>
    <t>Kirt</t>
  </si>
  <si>
    <t>Jacki</t>
  </si>
  <si>
    <t>Kissner</t>
  </si>
  <si>
    <t>Robert &amp; Rita</t>
  </si>
  <si>
    <t>Klemick</t>
  </si>
  <si>
    <t>Kevin &amp; Jennifer</t>
  </si>
  <si>
    <t>Klopp</t>
  </si>
  <si>
    <t>Don &amp; Marge</t>
  </si>
  <si>
    <t>Knudson</t>
  </si>
  <si>
    <t>Roger</t>
  </si>
  <si>
    <t>Koechell</t>
  </si>
  <si>
    <t>Kramer</t>
  </si>
  <si>
    <t>Shirley</t>
  </si>
  <si>
    <t>Kroll</t>
  </si>
  <si>
    <t>Bill &amp; Nancy</t>
  </si>
  <si>
    <t>Krueger</t>
  </si>
  <si>
    <t>Leah</t>
  </si>
  <si>
    <t>Levonian</t>
  </si>
  <si>
    <t>Joyce</t>
  </si>
  <si>
    <t>Mako</t>
  </si>
  <si>
    <t>Louie &amp; Karen</t>
  </si>
  <si>
    <t>Mantey</t>
  </si>
  <si>
    <t>John &amp; Mary Ann</t>
  </si>
  <si>
    <t>Matthews</t>
  </si>
  <si>
    <t>McKenna</t>
  </si>
  <si>
    <t>Colin &amp; Julie</t>
  </si>
  <si>
    <t>Miller, Sr.</t>
  </si>
  <si>
    <t>Paul &amp; Rita</t>
  </si>
  <si>
    <t>Miller</t>
  </si>
  <si>
    <t>Mohrbacher</t>
  </si>
  <si>
    <t>LeRoy</t>
  </si>
  <si>
    <t>Melissa</t>
  </si>
  <si>
    <t>Molina</t>
  </si>
  <si>
    <t>Sharon</t>
  </si>
  <si>
    <t>Mortensen</t>
  </si>
  <si>
    <t>Bill &amp; Carmen</t>
  </si>
  <si>
    <t>Nance</t>
  </si>
  <si>
    <t>Nelson</t>
  </si>
  <si>
    <t>Virginia</t>
  </si>
  <si>
    <t>Nielsen</t>
  </si>
  <si>
    <t>Nottleson</t>
  </si>
  <si>
    <t>Neal &amp; Gerry</t>
  </si>
  <si>
    <t>Oesau</t>
  </si>
  <si>
    <t>Scott</t>
  </si>
  <si>
    <t>Olsen</t>
  </si>
  <si>
    <t>Dwayne &amp; Myrna</t>
  </si>
  <si>
    <t>Pahl</t>
  </si>
  <si>
    <t>Jeff &amp; Karen</t>
  </si>
  <si>
    <t>Payan</t>
  </si>
  <si>
    <t>Debra</t>
  </si>
  <si>
    <t>Pederson</t>
  </si>
  <si>
    <t>Dan &amp; Connie</t>
  </si>
  <si>
    <t>Petrach</t>
  </si>
  <si>
    <t>Chuck &amp; Rachel</t>
  </si>
  <si>
    <t>Pfeffer</t>
  </si>
  <si>
    <t>Julie</t>
  </si>
  <si>
    <t>Rivest</t>
  </si>
  <si>
    <t>Bonnie</t>
  </si>
  <si>
    <t>Robe</t>
  </si>
  <si>
    <t>Rosemann</t>
  </si>
  <si>
    <t>Kristopher &amp; Morgan</t>
  </si>
  <si>
    <t>Scheller</t>
  </si>
  <si>
    <t>Roy</t>
  </si>
  <si>
    <t>Sell</t>
  </si>
  <si>
    <t>Lisa</t>
  </si>
  <si>
    <t>Sheriff</t>
  </si>
  <si>
    <t>Thomas &amp; Kathy</t>
  </si>
  <si>
    <t>Skaar</t>
  </si>
  <si>
    <t>Scott &amp; Jennifer</t>
  </si>
  <si>
    <t>Sorensen</t>
  </si>
  <si>
    <t>Ron</t>
  </si>
  <si>
    <t>Studrawa</t>
  </si>
  <si>
    <t>Audrey &amp; Frank</t>
  </si>
  <si>
    <t>Suiter</t>
  </si>
  <si>
    <t>Ron &amp; Betty</t>
  </si>
  <si>
    <t>Swiden</t>
  </si>
  <si>
    <t>Tague</t>
  </si>
  <si>
    <t>Pam</t>
  </si>
  <si>
    <t>Trabert</t>
  </si>
  <si>
    <t>Debbie</t>
  </si>
  <si>
    <t>Tuttle</t>
  </si>
  <si>
    <t>Barb</t>
  </si>
  <si>
    <t>Vacek</t>
  </si>
  <si>
    <t>Calvin &amp; Luann</t>
  </si>
  <si>
    <t>Vallone</t>
  </si>
  <si>
    <t>VanderLeest</t>
  </si>
  <si>
    <t>Wanggard</t>
  </si>
  <si>
    <t>Mark &amp; Nancy</t>
  </si>
  <si>
    <t>Weber</t>
  </si>
  <si>
    <t>Dave &amp; Judy</t>
  </si>
  <si>
    <t>Weiss</t>
  </si>
  <si>
    <t>Jay &amp; Kirsten</t>
  </si>
  <si>
    <t>Wernicke</t>
  </si>
  <si>
    <t>Dave &amp; Lori</t>
  </si>
  <si>
    <t>Wint</t>
  </si>
  <si>
    <t>Jonathon &amp; Gayle</t>
  </si>
  <si>
    <t>Yarrington</t>
  </si>
  <si>
    <t>Larry &amp; Jeanette</t>
  </si>
  <si>
    <t>Andersen</t>
  </si>
  <si>
    <t>Curt &amp; Marilyn</t>
  </si>
  <si>
    <t>Mark &amp; Cathy</t>
  </si>
  <si>
    <t>David &amp; Kelly</t>
  </si>
  <si>
    <t>Jeanne</t>
  </si>
  <si>
    <t>Barootian</t>
  </si>
  <si>
    <t>Eileen</t>
  </si>
  <si>
    <t>Behlke</t>
  </si>
  <si>
    <t>Darwin</t>
  </si>
  <si>
    <t>Black</t>
  </si>
  <si>
    <t>Carrie</t>
  </si>
  <si>
    <t>Campbell, Jr.</t>
  </si>
  <si>
    <t>Canman</t>
  </si>
  <si>
    <t>Cannon</t>
  </si>
  <si>
    <t>Star</t>
  </si>
  <si>
    <t>Capasso</t>
  </si>
  <si>
    <t>Jim &amp; Sara</t>
  </si>
  <si>
    <t>Christopherson</t>
  </si>
  <si>
    <t>Mel &amp; Joyce</t>
  </si>
  <si>
    <t>Covelli</t>
  </si>
  <si>
    <t>Bob &amp; Lisa</t>
  </si>
  <si>
    <t>Kris</t>
  </si>
  <si>
    <t>Escobar</t>
  </si>
  <si>
    <t>Carmen</t>
  </si>
  <si>
    <t>Fenkl</t>
  </si>
  <si>
    <t>Kevin &amp; Kristi</t>
  </si>
  <si>
    <t>Frayer</t>
  </si>
  <si>
    <t>Sherry</t>
  </si>
  <si>
    <t>Grindeland</t>
  </si>
  <si>
    <t>Dawne</t>
  </si>
  <si>
    <t>Guillien</t>
  </si>
  <si>
    <t>Haman</t>
  </si>
  <si>
    <t>Jeffrey &amp; Nancy</t>
  </si>
  <si>
    <t>Helmle</t>
  </si>
  <si>
    <t>Adele</t>
  </si>
  <si>
    <t>Henkel</t>
  </si>
  <si>
    <t>Marc &amp; Linda</t>
  </si>
  <si>
    <t>Hernandez</t>
  </si>
  <si>
    <t>Bobbie</t>
  </si>
  <si>
    <t>Jensen</t>
  </si>
  <si>
    <t>Bill &amp; Kim</t>
  </si>
  <si>
    <t>Johnson</t>
  </si>
  <si>
    <t>Lyle</t>
  </si>
  <si>
    <t>Kangas</t>
  </si>
  <si>
    <t>Dale &amp; Mary Ann</t>
  </si>
  <si>
    <t>Keck</t>
  </si>
  <si>
    <t>Kenyon</t>
  </si>
  <si>
    <t>Adam</t>
  </si>
  <si>
    <t>Kisley</t>
  </si>
  <si>
    <t>Randy</t>
  </si>
  <si>
    <t>Klein</t>
  </si>
  <si>
    <t>Pat</t>
  </si>
  <si>
    <t>Kozlik</t>
  </si>
  <si>
    <t>Aaron &amp; Edith</t>
  </si>
  <si>
    <t>Dean &amp; Jody</t>
  </si>
  <si>
    <t>Krupper, Jr.</t>
  </si>
  <si>
    <t>Bernie</t>
  </si>
  <si>
    <t>Kuzniar</t>
  </si>
  <si>
    <t>Madeline</t>
  </si>
  <si>
    <t>Larson</t>
  </si>
  <si>
    <t>Judy</t>
  </si>
  <si>
    <t>Lube</t>
  </si>
  <si>
    <t>Melvina</t>
  </si>
  <si>
    <t>Masko</t>
  </si>
  <si>
    <t>Bob</t>
  </si>
  <si>
    <t>Don &amp; Sandy</t>
  </si>
  <si>
    <t>Ralph</t>
  </si>
  <si>
    <t>Miritz</t>
  </si>
  <si>
    <t>Dr. &amp; Linda</t>
  </si>
  <si>
    <t>Mitchell</t>
  </si>
  <si>
    <t>Mike</t>
  </si>
  <si>
    <t>Modrow, Sr.</t>
  </si>
  <si>
    <t>Bob &amp; Jean</t>
  </si>
  <si>
    <t>Mohalley</t>
  </si>
  <si>
    <t>Chris &amp; Kim</t>
  </si>
  <si>
    <t>Molbeck</t>
  </si>
  <si>
    <t>Murphy</t>
  </si>
  <si>
    <t>Napier</t>
  </si>
  <si>
    <t>Glenn &amp; Sue</t>
  </si>
  <si>
    <t>Earl</t>
  </si>
  <si>
    <t>JoAnn &amp; Mike</t>
  </si>
  <si>
    <t>Linda</t>
  </si>
  <si>
    <t>Tom &amp; Jackie</t>
  </si>
  <si>
    <t>Olley</t>
  </si>
  <si>
    <t>Barbara</t>
  </si>
  <si>
    <t>Olson</t>
  </si>
  <si>
    <t>Denise</t>
  </si>
  <si>
    <t>Peters</t>
  </si>
  <si>
    <t>Scott &amp; Rayann</t>
  </si>
  <si>
    <t>Petricek</t>
  </si>
  <si>
    <t>Jennifer</t>
  </si>
  <si>
    <t>Rosenberg</t>
  </si>
  <si>
    <t>Wes &amp; Tammy</t>
  </si>
  <si>
    <t>Rosienski</t>
  </si>
  <si>
    <t>Liz</t>
  </si>
  <si>
    <t>Saavedra</t>
  </si>
  <si>
    <t>Tim &amp; Kelly</t>
  </si>
  <si>
    <t>Schinkowitch</t>
  </si>
  <si>
    <t>Paul &amp; Mary</t>
  </si>
  <si>
    <t>Schultz</t>
  </si>
  <si>
    <t>Jerry &amp; Jane</t>
  </si>
  <si>
    <t>Ann</t>
  </si>
  <si>
    <t>Schwartz</t>
  </si>
  <si>
    <t>Jill</t>
  </si>
  <si>
    <t>Senzig</t>
  </si>
  <si>
    <t>Jack</t>
  </si>
  <si>
    <t>Sharpe</t>
  </si>
  <si>
    <t>Bob &amp; Barb</t>
  </si>
  <si>
    <t>Shittu</t>
  </si>
  <si>
    <t>Gilda</t>
  </si>
  <si>
    <t>Smith</t>
  </si>
  <si>
    <t>Sporer</t>
  </si>
  <si>
    <t>Mary</t>
  </si>
  <si>
    <t>Steensen</t>
  </si>
  <si>
    <t>Stich</t>
  </si>
  <si>
    <t>Crystal</t>
  </si>
  <si>
    <t>Todorovic</t>
  </si>
  <si>
    <t>Connie</t>
  </si>
  <si>
    <t>Voll</t>
  </si>
  <si>
    <t>Ron &amp; Lynda</t>
  </si>
  <si>
    <t>Wayo</t>
  </si>
  <si>
    <t>Darlene</t>
  </si>
  <si>
    <t>Eric &amp; Kari</t>
  </si>
  <si>
    <t>Wertman</t>
  </si>
  <si>
    <t>Woodhull</t>
  </si>
  <si>
    <t>Wunderle</t>
  </si>
  <si>
    <t>Jeffrey &amp; Kara</t>
  </si>
  <si>
    <t>LCR Pledge Analysis (Detail)</t>
  </si>
  <si>
    <t>MaryAnn</t>
  </si>
  <si>
    <t>Buska</t>
  </si>
  <si>
    <t>Donna</t>
  </si>
  <si>
    <t>Carlson</t>
  </si>
  <si>
    <t>Leigh &amp; Keri</t>
  </si>
  <si>
    <t>Cieczka</t>
  </si>
  <si>
    <t>Garret &amp; Cheryl</t>
  </si>
  <si>
    <t>Fries</t>
  </si>
  <si>
    <t>Jeff &amp; Barb</t>
  </si>
  <si>
    <t>Kromke</t>
  </si>
  <si>
    <t>Curt</t>
  </si>
  <si>
    <t>Larson, Jr.</t>
  </si>
  <si>
    <t>Mike &amp; Melissa</t>
  </si>
  <si>
    <t>Lewis</t>
  </si>
  <si>
    <t>Malik</t>
  </si>
  <si>
    <t>Elaine</t>
  </si>
  <si>
    <t>Jim</t>
  </si>
  <si>
    <t>Jim &amp; Mary Lou</t>
  </si>
  <si>
    <t>Drew</t>
  </si>
  <si>
    <t>Tylar</t>
  </si>
  <si>
    <t>Budget Pacing:  Oct</t>
  </si>
  <si>
    <t xml:space="preserve">                             Nov</t>
  </si>
  <si>
    <t xml:space="preserve">                             Dec</t>
  </si>
  <si>
    <t>Total 2022 Estimate with budget pacing</t>
  </si>
  <si>
    <t>YTD Month</t>
  </si>
  <si>
    <t>Sept YTD - Actual</t>
  </si>
  <si>
    <t>Sept YTD - Budget</t>
  </si>
  <si>
    <t>Email</t>
  </si>
  <si>
    <t>Address</t>
  </si>
  <si>
    <t>Street</t>
  </si>
  <si>
    <t>City</t>
  </si>
  <si>
    <t>State</t>
  </si>
  <si>
    <t>Zip</t>
  </si>
  <si>
    <t>mmcorkdork@gmail.com</t>
  </si>
  <si>
    <t>102 Portical Drive</t>
  </si>
  <si>
    <t>Mt Pleasant</t>
  </si>
  <si>
    <t>WI</t>
  </si>
  <si>
    <t>853 Stonefield Dr #301</t>
  </si>
  <si>
    <t>kath131@wi.rr.com</t>
  </si>
  <si>
    <t>3635 Monica Drive</t>
  </si>
  <si>
    <t>petvalhalla@sbcglobal.net</t>
  </si>
  <si>
    <t>Franksville</t>
  </si>
  <si>
    <t>davebackmann@gmail.com</t>
  </si>
  <si>
    <t>4529 Kerry Road</t>
  </si>
  <si>
    <t>jebaroot63@msn.com</t>
  </si>
  <si>
    <t>5624 Cambridge Lane #5</t>
  </si>
  <si>
    <t>abaumga08@yahoo.com</t>
  </si>
  <si>
    <t>2536 Dover Land</t>
  </si>
  <si>
    <t>Baylon</t>
  </si>
  <si>
    <t>carolann35@me.com</t>
  </si>
  <si>
    <t>6731 Brook Road</t>
  </si>
  <si>
    <t>psbelanger8@att.net</t>
  </si>
  <si>
    <t>2119 Waukesha Road</t>
  </si>
  <si>
    <t>Caledonia</t>
  </si>
  <si>
    <t>Susann</t>
  </si>
  <si>
    <t>2908 Raymond Ave</t>
  </si>
  <si>
    <t>$50 weekly to be given on a monthly basis</t>
  </si>
  <si>
    <t>dalton6466@gmail.com</t>
  </si>
  <si>
    <t>3608 Indian Trail</t>
  </si>
  <si>
    <t>Racine</t>
  </si>
  <si>
    <t>dimae525@yahoo.com</t>
  </si>
  <si>
    <t>Union Grove</t>
  </si>
  <si>
    <t>chriscampbell1106@gmail.com</t>
  </si>
  <si>
    <t>5737 Little Timber Dr</t>
  </si>
  <si>
    <t>sacnpac1239@gmail.com</t>
  </si>
  <si>
    <t>1550 Raintree Land #111</t>
  </si>
  <si>
    <t>D'Amour</t>
  </si>
  <si>
    <t>2651 Penbrook Dr</t>
  </si>
  <si>
    <t>ldoe@wi.rr.com</t>
  </si>
  <si>
    <t>5718 Cambridge Ln Unit 1</t>
  </si>
  <si>
    <t>53406-2833</t>
  </si>
  <si>
    <t>4611 Westway Ave</t>
  </si>
  <si>
    <t>53405-1957</t>
  </si>
  <si>
    <t>1100 Fountain Hills Dr</t>
  </si>
  <si>
    <t>blerbe500@gmail.com</t>
  </si>
  <si>
    <t>543 Mulberry Lane</t>
  </si>
  <si>
    <t>ericksoncarln@yahoo.com</t>
  </si>
  <si>
    <t>6830 Cliffside Dr</t>
  </si>
  <si>
    <t>conniegardner1@hotmail.com</t>
  </si>
  <si>
    <t>5900 Marnie Ct</t>
  </si>
  <si>
    <t>cjgavigan177@gmail.com</t>
  </si>
  <si>
    <t>102 Portico Drive</t>
  </si>
  <si>
    <t>5128 Cynthia Lane</t>
  </si>
  <si>
    <t>Janice</t>
  </si>
  <si>
    <t>jhgilby_72@yahoo.com</t>
  </si>
  <si>
    <t>5600 Cambridge Lane Unit #6</t>
  </si>
  <si>
    <t>thauch@wi.rr.com</t>
  </si>
  <si>
    <t>jchewitt1943@gmail.com</t>
  </si>
  <si>
    <t>1100 Fountain Hills Dr  Apt 207A</t>
  </si>
  <si>
    <t>ghholm2@aol.com</t>
  </si>
  <si>
    <t>9439 Luanne Drive</t>
  </si>
  <si>
    <t>rholz1@wi.rr.com</t>
  </si>
  <si>
    <t>115 Robin Hill Drive</t>
  </si>
  <si>
    <t>1340 Arthur Avenue</t>
  </si>
  <si>
    <t>lynette.jacobson54@gmail.com</t>
  </si>
  <si>
    <t>dmj7140@gmail.com</t>
  </si>
  <si>
    <t>7140 Aspen Ct</t>
  </si>
  <si>
    <t>4800 Ridgeway Avenue</t>
  </si>
  <si>
    <t>1101 Augusta Street</t>
  </si>
  <si>
    <t>1501 Mauroe</t>
  </si>
  <si>
    <t>leazer@wi.rr.com</t>
  </si>
  <si>
    <t>1075 E Twin Oaks Drive</t>
  </si>
  <si>
    <t>Oak Creek</t>
  </si>
  <si>
    <t>esmalik@msn.com</t>
  </si>
  <si>
    <t>5215 Douglas Ave Apt 202</t>
  </si>
  <si>
    <t>mary.ann.mantey@gmail.com</t>
  </si>
  <si>
    <t>4512 Thomas Street</t>
  </si>
  <si>
    <t>matthew3239@sbcglobal.net</t>
  </si>
  <si>
    <t>3239 Fenceline Road</t>
  </si>
  <si>
    <t>mckennacolin59@gmail.com</t>
  </si>
  <si>
    <t>724 Crabtree Lane</t>
  </si>
  <si>
    <t>Christine</t>
  </si>
  <si>
    <t>jbknclm@att.net</t>
  </si>
  <si>
    <t>2121 Waukesha Road</t>
  </si>
  <si>
    <t>juliesptflowers@att.net</t>
  </si>
  <si>
    <t>2816 Shamrock Drive</t>
  </si>
  <si>
    <t>mitzymm@yahoo.com</t>
  </si>
  <si>
    <t>5313 Spring Street</t>
  </si>
  <si>
    <t>wmortensen@wi.rr.com</t>
  </si>
  <si>
    <t>5127  7 Mile Road</t>
  </si>
  <si>
    <t>rpetrach@gmail.com</t>
  </si>
  <si>
    <t>731 Sunnyview</t>
  </si>
  <si>
    <t>1415 53rd Drive</t>
  </si>
  <si>
    <t>tjsaavedra@hotmail.com</t>
  </si>
  <si>
    <t>3131 Reddin Road</t>
  </si>
  <si>
    <t>Wisconsin Rapids</t>
  </si>
  <si>
    <t>Give only when they attend with their parents</t>
  </si>
  <si>
    <t>tksheri1972@sbcglobal.net</t>
  </si>
  <si>
    <t>3601 Kinzie Avenue</t>
  </si>
  <si>
    <t>4616 Pierce Blvd</t>
  </si>
  <si>
    <t>fmstrudrawa@aol.com</t>
  </si>
  <si>
    <t>4335 Patzke Road</t>
  </si>
  <si>
    <t>mark.nancy1993@gmail.com</t>
  </si>
  <si>
    <t>6314 Larchmont Drive</t>
  </si>
  <si>
    <t>2715 Kenwood Drive</t>
  </si>
  <si>
    <t>ladw@sbcglobal.net</t>
  </si>
  <si>
    <t>243 Blaine Avenue</t>
  </si>
  <si>
    <t>jeffwunderle@yahoo.com</t>
  </si>
  <si>
    <t>Weeks</t>
  </si>
  <si>
    <t>Bi-Weeks</t>
  </si>
  <si>
    <t>Pledge is $175/month but $25/month goes to Building fund</t>
  </si>
  <si>
    <t>Total Pledge</t>
  </si>
  <si>
    <t>Total Estimate</t>
  </si>
  <si>
    <t>Left Church</t>
  </si>
  <si>
    <t>Remove per Cheryl</t>
  </si>
  <si>
    <t>Moved</t>
  </si>
  <si>
    <t>Deceased</t>
  </si>
  <si>
    <t>Haven't attended church</t>
  </si>
  <si>
    <t>Estimate (no pledge received)</t>
  </si>
  <si>
    <t>Wants to stay as a member but might not contribute</t>
  </si>
  <si>
    <t>Brennan</t>
  </si>
  <si>
    <t>Dave &amp; Lindsay</t>
  </si>
  <si>
    <t>%</t>
  </si>
  <si>
    <t>Stopped their automatic giving Nov 2022</t>
  </si>
  <si>
    <t>Giving $</t>
  </si>
  <si>
    <t>2023 Pledges</t>
  </si>
  <si>
    <t>Using for 2023 Budget</t>
  </si>
  <si>
    <t>#</t>
  </si>
  <si>
    <t xml:space="preserve">  Before Easter, Thanksgiving and Christmas</t>
  </si>
  <si>
    <t>Dr Steve &amp; Kim</t>
  </si>
  <si>
    <t>Betty and Ken Rubin</t>
  </si>
  <si>
    <t>Hansen</t>
  </si>
  <si>
    <t>Glenn &amp; Renee</t>
  </si>
  <si>
    <t>Gregg &amp; Kris</t>
  </si>
  <si>
    <t>2022 Giving</t>
  </si>
  <si>
    <t>carrie.black2228@gmail.com</t>
  </si>
  <si>
    <t>3329 15th Ave Apt #2</t>
  </si>
  <si>
    <t>Kenosha</t>
  </si>
  <si>
    <t>bblickle@wi.rr.com</t>
  </si>
  <si>
    <t>126 Robin Hill Drive</t>
  </si>
  <si>
    <t>1610 N. Rayner Avenue</t>
  </si>
  <si>
    <t>8303 12th Place</t>
  </si>
  <si>
    <t>linstolen@gmail.com</t>
  </si>
  <si>
    <t>4919 Beacon Lane</t>
  </si>
  <si>
    <t>Wind Point</t>
  </si>
  <si>
    <t>Kimsc31@aol.com</t>
  </si>
  <si>
    <t>4019 Southwood Drive</t>
  </si>
  <si>
    <t>kitandmaryjane@yahoo.com</t>
  </si>
  <si>
    <t>6339 Kingsview Drive #1</t>
  </si>
  <si>
    <t>1629 Echo Lane</t>
  </si>
  <si>
    <t>fcurran@wi.rr.com</t>
  </si>
  <si>
    <t>1904 Polaris Ave</t>
  </si>
  <si>
    <t>4405 21st Street</t>
  </si>
  <si>
    <t>53406-7627</t>
  </si>
  <si>
    <t>klfritz1@gmail.com</t>
  </si>
  <si>
    <t>3163 Linden Lane</t>
  </si>
  <si>
    <t>sandra.georgeson@yahoo.com
jgeorgeson@wi.rr.com</t>
  </si>
  <si>
    <t>lingissl@gmail.com</t>
  </si>
  <si>
    <t>1124 Tall Oak Ct</t>
  </si>
  <si>
    <t>1727 Mt Pleasant Street</t>
  </si>
  <si>
    <t>glenn.hansen7@yahoo.com
gr.hansen95@yahoo.com</t>
  </si>
  <si>
    <t>1316 Spring Valley Drive</t>
  </si>
  <si>
    <t>Notes</t>
  </si>
  <si>
    <t>also $35/week for building</t>
  </si>
  <si>
    <t>Give all in Dec 2024</t>
  </si>
  <si>
    <t>Given all in Jan or Feb 2024</t>
  </si>
  <si>
    <t>dubar@att.net (Duanne)
barbkh42@yahoo.com (Barb)</t>
  </si>
  <si>
    <t>1214 West Lawn Ave</t>
  </si>
  <si>
    <t>crlpeppershaker@hol.com</t>
  </si>
  <si>
    <t>8148 Dorothy Ct</t>
  </si>
  <si>
    <t>Mt. Pleasant</t>
  </si>
  <si>
    <t>no set amount</t>
  </si>
  <si>
    <t>jkiemen1942@gmail.com or
jkreader1942@gmail.com</t>
  </si>
  <si>
    <t>IRA Distribution</t>
  </si>
  <si>
    <t>pursonalityjen@gmail.com</t>
  </si>
  <si>
    <t>3040 Fenceline Road</t>
  </si>
  <si>
    <t>jkoechell@att.net</t>
  </si>
  <si>
    <t>4907 Westway Avenue</t>
  </si>
  <si>
    <t>also, $1,440 ($120/month community meal)
$1,000 youth trip and/or summer program</t>
  </si>
  <si>
    <t>2113 Neptune Circle</t>
  </si>
  <si>
    <t>53404-1965</t>
  </si>
  <si>
    <t>nhkroll@sbcglobal.net</t>
  </si>
  <si>
    <t>2064 Erie Street</t>
  </si>
  <si>
    <t>bettylewis4120@gmail.com</t>
  </si>
  <si>
    <t>148 Robin Hill Drive</t>
  </si>
  <si>
    <t>lindalewis099@gmail.com</t>
  </si>
  <si>
    <t>3323 Hamlin Avenue</t>
  </si>
  <si>
    <t>53405-1944</t>
  </si>
  <si>
    <t>rmmiller10@hotmail.com</t>
  </si>
  <si>
    <t>220 Virginia Street</t>
  </si>
  <si>
    <t>on-line through Raymond James</t>
  </si>
  <si>
    <t>mohalleyfam@sbcglobal.net</t>
  </si>
  <si>
    <t>vda0369@yahoo.com</t>
  </si>
  <si>
    <t>3819 25th Street</t>
  </si>
  <si>
    <t>all by June 30, 2024</t>
  </si>
  <si>
    <t>sdn313@hotmail.com</t>
  </si>
  <si>
    <t>9230 Dahlia Lane</t>
  </si>
  <si>
    <t>4815 Piper Lane</t>
  </si>
  <si>
    <t>mnelson224@wi.rr.com</t>
  </si>
  <si>
    <t>424 Whippletree Lane</t>
  </si>
  <si>
    <t>Waterford</t>
  </si>
  <si>
    <t>grmagne9@ww.rr.com</t>
  </si>
  <si>
    <t>100 Perry Avenue</t>
  </si>
  <si>
    <t>Wi</t>
  </si>
  <si>
    <t>dw.nielsen@yahoo.com</t>
  </si>
  <si>
    <t>3038 Pritchrad Drive</t>
  </si>
  <si>
    <t>$26k in Jan via IRA
$54k in July via check</t>
  </si>
  <si>
    <t>extrovert.grampa@gmail.com</t>
  </si>
  <si>
    <t>13810 Shepherds Path NW  Apt#340</t>
  </si>
  <si>
    <t>Prior Lake</t>
  </si>
  <si>
    <t>MN</t>
  </si>
  <si>
    <t>55379-2483</t>
  </si>
  <si>
    <t>hotgram57@hotmail.com</t>
  </si>
  <si>
    <t>staceyr@wi.rr.com</t>
  </si>
  <si>
    <t>Stacey</t>
  </si>
  <si>
    <t>9902 6 Mile Road</t>
  </si>
  <si>
    <t>sjscore44@gmail.com</t>
  </si>
  <si>
    <t>4539 Pilgrim Drive</t>
  </si>
  <si>
    <t>901 Coronada Drive</t>
  </si>
  <si>
    <t>tunie8420@aol.com</t>
  </si>
  <si>
    <t>5835 Potomac Place</t>
  </si>
  <si>
    <t>tytrabert@att.net</t>
  </si>
  <si>
    <t>2341 Green Haze Avenue</t>
  </si>
  <si>
    <t>cbvacek@hotmail.com</t>
  </si>
  <si>
    <t>7335 Botting Road</t>
  </si>
  <si>
    <t>gltingb@gmail.com</t>
  </si>
  <si>
    <t>5734 Sandell Way</t>
  </si>
  <si>
    <t>Trenton</t>
  </si>
  <si>
    <t>Nathan &amp; Crystal</t>
  </si>
  <si>
    <t>Fisher</t>
  </si>
  <si>
    <t>Rob and Mardell</t>
  </si>
  <si>
    <t>5901 Marnie Ct</t>
  </si>
  <si>
    <t>Gaskill</t>
  </si>
  <si>
    <t>Graceffa</t>
  </si>
  <si>
    <t>Hoefs</t>
  </si>
  <si>
    <t>Lynn</t>
  </si>
  <si>
    <t>Delmar</t>
  </si>
  <si>
    <t>McDonough</t>
  </si>
  <si>
    <t>Tom</t>
  </si>
  <si>
    <t>Radke</t>
  </si>
  <si>
    <t>Keith</t>
  </si>
  <si>
    <t>Mike and Debbie</t>
  </si>
  <si>
    <t>X</t>
  </si>
  <si>
    <t>Pledge Difference (converted 2023 to 52 weeks)</t>
  </si>
  <si>
    <t>this will be different then o - k as the weeks are converted for years with 53 weeks</t>
  </si>
  <si>
    <t>Pledged same as in 2023</t>
  </si>
  <si>
    <t>Detail History</t>
  </si>
  <si>
    <t>Did not pledge in 2023 but pledged in 2024</t>
  </si>
  <si>
    <t>Sort</t>
  </si>
  <si>
    <t>N</t>
  </si>
  <si>
    <t>Del</t>
  </si>
  <si>
    <t>Doug &amp; Sue</t>
  </si>
  <si>
    <t>Marv &amp; Chris</t>
  </si>
  <si>
    <t>Steve</t>
  </si>
  <si>
    <t>Gedemer</t>
  </si>
  <si>
    <t>Candace</t>
  </si>
  <si>
    <t>Henrichs</t>
  </si>
  <si>
    <t>Ashleigh</t>
  </si>
  <si>
    <t>Hutson</t>
  </si>
  <si>
    <t>Jonathan &amp; Amanda</t>
  </si>
  <si>
    <t>Kempen</t>
  </si>
  <si>
    <t>Peter &amp; Brenda</t>
  </si>
  <si>
    <t>Keszler-Dorsey</t>
  </si>
  <si>
    <t>Heather &amp; Erika</t>
  </si>
  <si>
    <t>Lasch</t>
  </si>
  <si>
    <t>Russell &amp; Bette</t>
  </si>
  <si>
    <t>Robert</t>
  </si>
  <si>
    <t>Ludwin</t>
  </si>
  <si>
    <t>Jim &amp; Cory</t>
  </si>
  <si>
    <t>Miner</t>
  </si>
  <si>
    <t>Jeff &amp; Cherie</t>
  </si>
  <si>
    <t>Phillips</t>
  </si>
  <si>
    <t>Dalton</t>
  </si>
  <si>
    <t>Holly</t>
  </si>
  <si>
    <t>Riedel</t>
  </si>
  <si>
    <t>Luanne</t>
  </si>
  <si>
    <t>Rossmann</t>
  </si>
  <si>
    <t>Paul &amp; Dori</t>
  </si>
  <si>
    <t>Schneider</t>
  </si>
  <si>
    <t>Al &amp; Betty</t>
  </si>
  <si>
    <t>Danielle</t>
  </si>
  <si>
    <t>Steberl</t>
  </si>
  <si>
    <t>Rick &amp; Barb</t>
  </si>
  <si>
    <t>J.R &amp; Jenny</t>
  </si>
  <si>
    <t>Sweeney</t>
  </si>
  <si>
    <t>Tetrault</t>
  </si>
  <si>
    <t>Thomson</t>
  </si>
  <si>
    <t>Jeff &amp; Diana</t>
  </si>
  <si>
    <t>Don</t>
  </si>
  <si>
    <t>2024 Estimate (Envelop giving only)</t>
  </si>
  <si>
    <t>Total 2024 Estimate</t>
  </si>
  <si>
    <t>No Longer a member</t>
  </si>
  <si>
    <t>Was member for 2023 budget</t>
  </si>
  <si>
    <t>Est</t>
  </si>
  <si>
    <t xml:space="preserve">   Total pledges</t>
  </si>
  <si>
    <t>NA</t>
  </si>
  <si>
    <t>Total Budget (envelop giving)</t>
  </si>
  <si>
    <t>pledge</t>
  </si>
  <si>
    <t xml:space="preserve">          Additional Estimate</t>
  </si>
  <si>
    <t>Giving Analysis</t>
  </si>
  <si>
    <t>Budget (Total Income)</t>
  </si>
  <si>
    <t>Diff</t>
  </si>
  <si>
    <t>Loose Offering &amp; Misc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</si>
</sst>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7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04">
    <xf numFmtId="0" fontId="0" fillId="0" borderId="0" xfId="0"/>
    <xf numFmtId="3" fontId="0" fillId="0" borderId="0" xfId="0" applyNumberFormat="1"/>
    <xf numFmtId="0" fontId="0" fillId="0" borderId="4" xfId="0" applyBorder="1"/>
    <xf numFmtId="0" fontId="0" fillId="0" borderId="0" xfId="0" applyBorder="1"/>
    <xf numFmtId="3" fontId="0" fillId="0" borderId="5" xfId="0" applyNumberFormat="1" applyBorder="1"/>
    <xf numFmtId="46" fontId="2" fillId="0" borderId="4" xfId="0" quotePrefix="1" applyNumberFormat="1" applyFont="1" applyBorder="1"/>
    <xf numFmtId="0" fontId="0" fillId="0" borderId="5" xfId="0" applyBorder="1"/>
    <xf numFmtId="0" fontId="7" fillId="0" borderId="0" xfId="0" applyFont="1" applyBorder="1" applyAlignment="1">
      <alignment horizontal="center" wrapText="1"/>
    </xf>
    <xf numFmtId="0" fontId="2" fillId="2" borderId="6" xfId="0" applyFont="1" applyFill="1" applyBorder="1"/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0" fontId="7" fillId="0" borderId="0" xfId="0" applyFont="1" applyBorder="1" applyAlignment="1">
      <alignment horizontal="center"/>
    </xf>
    <xf numFmtId="3" fontId="4" fillId="0" borderId="0" xfId="0" applyNumberFormat="1" applyFont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3" fontId="4" fillId="0" borderId="4" xfId="0" applyNumberFormat="1" applyFont="1" applyBorder="1"/>
    <xf numFmtId="3" fontId="2" fillId="2" borderId="6" xfId="0" applyNumberFormat="1" applyFont="1" applyFill="1" applyBorder="1"/>
    <xf numFmtId="3" fontId="4" fillId="0" borderId="13" xfId="0" applyNumberFormat="1" applyFont="1" applyBorder="1"/>
    <xf numFmtId="3" fontId="2" fillId="2" borderId="14" xfId="0" applyNumberFormat="1" applyFont="1" applyFill="1" applyBorder="1"/>
    <xf numFmtId="3" fontId="4" fillId="0" borderId="0" xfId="0" applyNumberFormat="1" applyFont="1" applyBorder="1" applyAlignment="1">
      <alignment horizontal="center"/>
    </xf>
    <xf numFmtId="3" fontId="5" fillId="0" borderId="5" xfId="0" applyNumberFormat="1" applyFont="1" applyBorder="1"/>
    <xf numFmtId="3" fontId="0" fillId="0" borderId="4" xfId="0" applyNumberFormat="1" applyBorder="1"/>
    <xf numFmtId="0" fontId="2" fillId="2" borderId="7" xfId="0" applyFont="1" applyFill="1" applyBorder="1"/>
    <xf numFmtId="0" fontId="2" fillId="2" borderId="8" xfId="0" applyFont="1" applyFill="1" applyBorder="1"/>
    <xf numFmtId="165" fontId="0" fillId="0" borderId="0" xfId="1" applyNumberFormat="1" applyFont="1" applyBorder="1"/>
    <xf numFmtId="165" fontId="2" fillId="2" borderId="7" xfId="0" applyNumberFormat="1" applyFont="1" applyFill="1" applyBorder="1"/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164" fontId="2" fillId="0" borderId="0" xfId="2" applyNumberFormat="1" applyFont="1" applyFill="1" applyBorder="1"/>
    <xf numFmtId="165" fontId="2" fillId="0" borderId="0" xfId="1" applyNumberFormat="1" applyFont="1" applyFill="1" applyBorder="1"/>
    <xf numFmtId="0" fontId="2" fillId="0" borderId="5" xfId="0" applyFont="1" applyFill="1" applyBorder="1"/>
    <xf numFmtId="0" fontId="0" fillId="0" borderId="4" xfId="0" applyFont="1" applyFill="1" applyBorder="1"/>
    <xf numFmtId="164" fontId="0" fillId="0" borderId="5" xfId="2" applyNumberFormat="1" applyFont="1" applyBorder="1"/>
    <xf numFmtId="165" fontId="5" fillId="0" borderId="0" xfId="1" applyNumberFormat="1" applyFont="1" applyFill="1" applyBorder="1"/>
    <xf numFmtId="0" fontId="4" fillId="0" borderId="0" xfId="0" applyFont="1"/>
    <xf numFmtId="164" fontId="2" fillId="2" borderId="8" xfId="2" applyNumberFormat="1" applyFont="1" applyFill="1" applyBorder="1"/>
    <xf numFmtId="164" fontId="2" fillId="0" borderId="16" xfId="2" applyNumberFormat="1" applyFont="1" applyFill="1" applyBorder="1"/>
    <xf numFmtId="165" fontId="2" fillId="0" borderId="16" xfId="1" applyNumberFormat="1" applyFont="1" applyFill="1" applyBorder="1"/>
    <xf numFmtId="0" fontId="2" fillId="0" borderId="17" xfId="0" applyFont="1" applyFill="1" applyBorder="1"/>
    <xf numFmtId="0" fontId="0" fillId="0" borderId="15" xfId="0" applyBorder="1"/>
    <xf numFmtId="165" fontId="0" fillId="0" borderId="16" xfId="1" applyNumberFormat="1" applyFont="1" applyBorder="1"/>
    <xf numFmtId="3" fontId="0" fillId="0" borderId="16" xfId="0" applyNumberFormat="1" applyBorder="1"/>
    <xf numFmtId="164" fontId="0" fillId="0" borderId="17" xfId="2" applyNumberFormat="1" applyFont="1" applyBorder="1"/>
    <xf numFmtId="0" fontId="4" fillId="0" borderId="0" xfId="0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3" fontId="11" fillId="0" borderId="0" xfId="3" applyNumberFormat="1"/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9" fontId="4" fillId="0" borderId="0" xfId="2" applyFont="1"/>
    <xf numFmtId="3" fontId="12" fillId="0" borderId="0" xfId="3" applyNumberFormat="1" applyFont="1"/>
    <xf numFmtId="4" fontId="4" fillId="0" borderId="0" xfId="0" applyNumberFormat="1" applyFont="1"/>
    <xf numFmtId="3" fontId="2" fillId="0" borderId="6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7" xfId="0" applyNumberFormat="1" applyBorder="1" applyAlignment="1">
      <alignment horizontal="center" vertical="center" wrapText="1"/>
    </xf>
    <xf numFmtId="3" fontId="0" fillId="0" borderId="4" xfId="0" applyNumberFormat="1" applyFill="1" applyBorder="1"/>
    <xf numFmtId="3" fontId="0" fillId="0" borderId="5" xfId="0" applyNumberFormat="1" applyFill="1" applyBorder="1"/>
    <xf numFmtId="3" fontId="4" fillId="0" borderId="0" xfId="0" applyNumberFormat="1" applyFont="1" applyFill="1" applyBorder="1"/>
    <xf numFmtId="3" fontId="4" fillId="0" borderId="4" xfId="0" applyNumberFormat="1" applyFont="1" applyFill="1" applyBorder="1"/>
    <xf numFmtId="3" fontId="5" fillId="0" borderId="5" xfId="0" applyNumberFormat="1" applyFont="1" applyFill="1" applyBorder="1"/>
    <xf numFmtId="3" fontId="4" fillId="0" borderId="0" xfId="0" applyNumberFormat="1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center"/>
    </xf>
    <xf numFmtId="3" fontId="4" fillId="0" borderId="0" xfId="0" applyNumberFormat="1" applyFont="1" applyFill="1"/>
    <xf numFmtId="3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3" fontId="0" fillId="3" borderId="4" xfId="0" applyNumberFormat="1" applyFill="1" applyBorder="1"/>
    <xf numFmtId="3" fontId="0" fillId="3" borderId="5" xfId="0" applyNumberFormat="1" applyFill="1" applyBorder="1"/>
    <xf numFmtId="3" fontId="4" fillId="3" borderId="0" xfId="0" applyNumberFormat="1" applyFont="1" applyFill="1" applyBorder="1"/>
    <xf numFmtId="3" fontId="4" fillId="3" borderId="4" xfId="0" applyNumberFormat="1" applyFont="1" applyFill="1" applyBorder="1"/>
    <xf numFmtId="3" fontId="5" fillId="3" borderId="5" xfId="0" applyNumberFormat="1" applyFont="1" applyFill="1" applyBorder="1"/>
    <xf numFmtId="3" fontId="4" fillId="3" borderId="0" xfId="0" applyNumberFormat="1" applyFont="1" applyFill="1" applyBorder="1" applyAlignment="1">
      <alignment horizontal="center"/>
    </xf>
    <xf numFmtId="3" fontId="5" fillId="3" borderId="4" xfId="0" applyNumberFormat="1" applyFont="1" applyFill="1" applyBorder="1"/>
    <xf numFmtId="3" fontId="5" fillId="3" borderId="5" xfId="0" applyNumberFormat="1" applyFont="1" applyFill="1" applyBorder="1" applyAlignment="1">
      <alignment horizontal="center"/>
    </xf>
    <xf numFmtId="3" fontId="4" fillId="3" borderId="0" xfId="0" applyNumberFormat="1" applyFont="1" applyFill="1"/>
    <xf numFmtId="3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3" fontId="4" fillId="3" borderId="13" xfId="0" applyNumberFormat="1" applyFont="1" applyFill="1" applyBorder="1"/>
    <xf numFmtId="3" fontId="4" fillId="0" borderId="13" xfId="0" applyNumberFormat="1" applyFont="1" applyFill="1" applyBorder="1"/>
    <xf numFmtId="9" fontId="0" fillId="0" borderId="0" xfId="2" applyFont="1" applyBorder="1" applyAlignment="1">
      <alignment horizontal="center"/>
    </xf>
    <xf numFmtId="9" fontId="0" fillId="2" borderId="7" xfId="0" applyNumberFormat="1" applyFill="1" applyBorder="1" applyAlignment="1">
      <alignment horizontal="center"/>
    </xf>
    <xf numFmtId="165" fontId="2" fillId="2" borderId="0" xfId="0" applyNumberFormat="1" applyFont="1" applyFill="1" applyBorder="1"/>
    <xf numFmtId="3" fontId="2" fillId="2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6" xfId="0" applyBorder="1"/>
    <xf numFmtId="165" fontId="0" fillId="0" borderId="7" xfId="0" applyNumberFormat="1" applyFont="1" applyFill="1" applyBorder="1"/>
    <xf numFmtId="165" fontId="0" fillId="0" borderId="7" xfId="1" applyNumberFormat="1" applyFont="1" applyBorder="1"/>
    <xf numFmtId="0" fontId="0" fillId="2" borderId="1" xfId="0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0" borderId="8" xfId="1" applyNumberFormat="1" applyFont="1" applyBorder="1"/>
    <xf numFmtId="167" fontId="3" fillId="2" borderId="18" xfId="4" applyNumberFormat="1" applyFont="1" applyFill="1" applyBorder="1"/>
    <xf numFmtId="0" fontId="0" fillId="0" borderId="0" xfId="0" applyAlignment="1">
      <alignment horizontal="right"/>
    </xf>
    <xf numFmtId="3" fontId="4" fillId="0" borderId="5" xfId="0" applyNumberFormat="1" applyFont="1" applyBorder="1"/>
    <xf numFmtId="3" fontId="0" fillId="4" borderId="4" xfId="0" applyNumberFormat="1" applyFill="1" applyBorder="1"/>
    <xf numFmtId="3" fontId="0" fillId="4" borderId="5" xfId="0" applyNumberFormat="1" applyFill="1" applyBorder="1"/>
    <xf numFmtId="3" fontId="4" fillId="4" borderId="0" xfId="0" applyNumberFormat="1" applyFont="1" applyFill="1" applyBorder="1"/>
    <xf numFmtId="3" fontId="4" fillId="4" borderId="4" xfId="0" applyNumberFormat="1" applyFont="1" applyFill="1" applyBorder="1"/>
    <xf numFmtId="3" fontId="5" fillId="4" borderId="5" xfId="0" applyNumberFormat="1" applyFont="1" applyFill="1" applyBorder="1"/>
    <xf numFmtId="3" fontId="4" fillId="4" borderId="0" xfId="0" applyNumberFormat="1" applyFont="1" applyFill="1" applyBorder="1" applyAlignment="1">
      <alignment horizontal="center"/>
    </xf>
    <xf numFmtId="3" fontId="4" fillId="4" borderId="0" xfId="0" applyNumberFormat="1" applyFont="1" applyFill="1"/>
    <xf numFmtId="3" fontId="4" fillId="4" borderId="0" xfId="0" applyNumberFormat="1" applyFont="1" applyFill="1" applyAlignment="1">
      <alignment horizontal="center"/>
    </xf>
    <xf numFmtId="0" fontId="4" fillId="4" borderId="0" xfId="0" applyNumberFormat="1" applyFont="1" applyFill="1" applyAlignment="1">
      <alignment horizontal="center"/>
    </xf>
    <xf numFmtId="3" fontId="11" fillId="4" borderId="0" xfId="3" applyNumberFormat="1" applyFill="1"/>
    <xf numFmtId="3" fontId="11" fillId="0" borderId="0" xfId="3" applyNumberFormat="1" applyAlignment="1">
      <alignment wrapText="1"/>
    </xf>
    <xf numFmtId="3" fontId="4" fillId="0" borderId="0" xfId="0" applyNumberFormat="1" applyFont="1" applyAlignment="1">
      <alignment wrapText="1"/>
    </xf>
    <xf numFmtId="3" fontId="9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4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center"/>
    </xf>
    <xf numFmtId="3" fontId="2" fillId="0" borderId="6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wrapText="1"/>
    </xf>
    <xf numFmtId="3" fontId="4" fillId="4" borderId="13" xfId="0" applyNumberFormat="1" applyFont="1" applyFill="1" applyBorder="1"/>
    <xf numFmtId="3" fontId="0" fillId="0" borderId="6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" fontId="5" fillId="0" borderId="4" xfId="0" applyNumberFormat="1" applyFont="1" applyFill="1" applyBorder="1"/>
    <xf numFmtId="3" fontId="0" fillId="0" borderId="0" xfId="0" applyNumberFormat="1" applyFill="1"/>
    <xf numFmtId="3" fontId="14" fillId="3" borderId="5" xfId="0" applyNumberFormat="1" applyFont="1" applyFill="1" applyBorder="1" applyAlignment="1">
      <alignment horizontal="center"/>
    </xf>
    <xf numFmtId="3" fontId="13" fillId="0" borderId="4" xfId="0" applyNumberFormat="1" applyFont="1" applyFill="1" applyBorder="1"/>
    <xf numFmtId="3" fontId="13" fillId="0" borderId="4" xfId="0" applyNumberFormat="1" applyFont="1" applyBorder="1"/>
    <xf numFmtId="3" fontId="13" fillId="0" borderId="0" xfId="0" applyNumberFormat="1" applyFont="1" applyBorder="1" applyAlignment="1">
      <alignment horizontal="center" wrapText="1"/>
    </xf>
    <xf numFmtId="3" fontId="13" fillId="3" borderId="5" xfId="0" applyNumberFormat="1" applyFont="1" applyFill="1" applyBorder="1" applyAlignment="1">
      <alignment horizontal="center"/>
    </xf>
    <xf numFmtId="165" fontId="13" fillId="0" borderId="0" xfId="1" applyNumberFormat="1" applyFont="1" applyBorder="1"/>
    <xf numFmtId="0" fontId="13" fillId="0" borderId="15" xfId="0" applyFont="1" applyFill="1" applyBorder="1"/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3" fontId="4" fillId="2" borderId="0" xfId="0" applyNumberFormat="1" applyFont="1" applyFill="1"/>
    <xf numFmtId="3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 wrapText="1"/>
    </xf>
    <xf numFmtId="3" fontId="0" fillId="0" borderId="14" xfId="0" applyNumberFormat="1" applyBorder="1" applyAlignment="1">
      <alignment horizontal="center" wrapText="1"/>
    </xf>
    <xf numFmtId="3" fontId="2" fillId="0" borderId="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0" fillId="0" borderId="1" xfId="0" applyNumberFormat="1" applyFill="1" applyBorder="1" applyAlignment="1">
      <alignment horizontal="center" wrapText="1"/>
    </xf>
    <xf numFmtId="3" fontId="0" fillId="0" borderId="3" xfId="0" applyNumberFormat="1" applyFill="1" applyBorder="1" applyAlignment="1">
      <alignment horizont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8" fillId="2" borderId="2" xfId="0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 applyAlignment="1">
      <alignment horizontal="center"/>
    </xf>
    <xf numFmtId="3" fontId="13" fillId="0" borderId="0" xfId="0" applyNumberFormat="1" applyFont="1" applyBorder="1"/>
    <xf numFmtId="3" fontId="13" fillId="0" borderId="5" xfId="0" applyNumberFormat="1" applyFont="1" applyBorder="1"/>
    <xf numFmtId="3" fontId="5" fillId="0" borderId="4" xfId="0" applyNumberFormat="1" applyFont="1" applyBorder="1"/>
    <xf numFmtId="3" fontId="0" fillId="0" borderId="0" xfId="0" applyNumberFormat="1" applyFill="1" applyAlignment="1">
      <alignment horizontal="center"/>
    </xf>
    <xf numFmtId="3" fontId="11" fillId="0" borderId="0" xfId="3" applyNumberFormat="1" applyFill="1"/>
    <xf numFmtId="165" fontId="8" fillId="0" borderId="0" xfId="1" applyNumberFormat="1" applyFont="1" applyFill="1" applyBorder="1"/>
    <xf numFmtId="9" fontId="2" fillId="0" borderId="0" xfId="2" applyNumberFormat="1" applyFont="1" applyFill="1" applyBorder="1"/>
    <xf numFmtId="3" fontId="4" fillId="3" borderId="5" xfId="0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3" fontId="0" fillId="0" borderId="2" xfId="0" applyNumberFormat="1" applyFill="1" applyBorder="1" applyAlignment="1">
      <alignment horizontal="center" wrapText="1"/>
    </xf>
    <xf numFmtId="3" fontId="0" fillId="0" borderId="7" xfId="0" applyNumberFormat="1" applyFill="1" applyBorder="1" applyAlignment="1">
      <alignment horizontal="center" vertical="center"/>
    </xf>
    <xf numFmtId="0" fontId="2" fillId="0" borderId="4" xfId="0" applyFont="1" applyBorder="1"/>
    <xf numFmtId="0" fontId="8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0" borderId="0" xfId="0" applyFont="1" applyFill="1" applyBorder="1"/>
    <xf numFmtId="0" fontId="0" fillId="0" borderId="0" xfId="0" applyFill="1"/>
    <xf numFmtId="3" fontId="0" fillId="0" borderId="7" xfId="0" applyNumberFormat="1" applyFill="1" applyBorder="1" applyAlignment="1">
      <alignment horizontal="center" vertical="center" wrapText="1"/>
    </xf>
    <xf numFmtId="165" fontId="4" fillId="0" borderId="0" xfId="1" applyNumberFormat="1" applyFont="1" applyBorder="1"/>
    <xf numFmtId="165" fontId="3" fillId="0" borderId="0" xfId="1" applyNumberFormat="1" applyFont="1" applyFill="1" applyBorder="1"/>
    <xf numFmtId="165" fontId="4" fillId="0" borderId="16" xfId="1" applyNumberFormat="1" applyFont="1" applyFill="1" applyBorder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3" fontId="2" fillId="2" borderId="5" xfId="0" applyNumberFormat="1" applyFont="1" applyFill="1" applyBorder="1"/>
    <xf numFmtId="0" fontId="0" fillId="0" borderId="4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2" fillId="0" borderId="5" xfId="2" applyNumberFormat="1" applyFont="1" applyFill="1" applyBorder="1"/>
    <xf numFmtId="0" fontId="2" fillId="0" borderId="6" xfId="0" applyFont="1" applyFill="1" applyBorder="1" applyAlignment="1">
      <alignment horizontal="center"/>
    </xf>
    <xf numFmtId="165" fontId="8" fillId="0" borderId="7" xfId="1" applyNumberFormat="1" applyFont="1" applyFill="1" applyBorder="1"/>
    <xf numFmtId="164" fontId="2" fillId="0" borderId="8" xfId="2" applyNumberFormat="1" applyFont="1" applyFill="1" applyBorder="1"/>
    <xf numFmtId="0" fontId="2" fillId="2" borderId="6" xfId="0" applyFont="1" applyFill="1" applyBorder="1" applyAlignment="1">
      <alignment horizontal="center"/>
    </xf>
    <xf numFmtId="165" fontId="8" fillId="2" borderId="7" xfId="1" applyNumberFormat="1" applyFont="1" applyFill="1" applyBorder="1"/>
    <xf numFmtId="0" fontId="6" fillId="2" borderId="0" xfId="0" applyFont="1" applyFill="1" applyBorder="1" applyAlignment="1">
      <alignment horizontal="center"/>
    </xf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  <color rgb="FFDD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25</xdr:row>
      <xdr:rowOff>88900</xdr:rowOff>
    </xdr:from>
    <xdr:to>
      <xdr:col>11</xdr:col>
      <xdr:colOff>0</xdr:colOff>
      <xdr:row>25</xdr:row>
      <xdr:rowOff>95250</xdr:rowOff>
    </xdr:to>
    <xdr:cxnSp macro="">
      <xdr:nvCxnSpPr>
        <xdr:cNvPr id="5" name="Straight Connector 4"/>
        <xdr:cNvCxnSpPr/>
      </xdr:nvCxnSpPr>
      <xdr:spPr>
        <a:xfrm>
          <a:off x="12700" y="4445000"/>
          <a:ext cx="9207500" cy="6350"/>
        </a:xfrm>
        <a:prstGeom prst="line">
          <a:avLst/>
        </a:prstGeom>
        <a:ln w="508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sacnpac1239@gmail.com" TargetMode="External"/><Relationship Id="rId18" Type="http://schemas.openxmlformats.org/officeDocument/2006/relationships/hyperlink" Target="mailto:cjgavigan177@gmail.com" TargetMode="External"/><Relationship Id="rId26" Type="http://schemas.openxmlformats.org/officeDocument/2006/relationships/hyperlink" Target="mailto:dmj7140@gmail.com" TargetMode="External"/><Relationship Id="rId39" Type="http://schemas.openxmlformats.org/officeDocument/2006/relationships/hyperlink" Target="mailto:tksheri1972@sbcglobal.net" TargetMode="External"/><Relationship Id="rId21" Type="http://schemas.openxmlformats.org/officeDocument/2006/relationships/hyperlink" Target="mailto:thauch@wi.rr.com" TargetMode="External"/><Relationship Id="rId34" Type="http://schemas.openxmlformats.org/officeDocument/2006/relationships/hyperlink" Target="mailto:juliesptflowers@att.net" TargetMode="External"/><Relationship Id="rId42" Type="http://schemas.openxmlformats.org/officeDocument/2006/relationships/hyperlink" Target="mailto:ladw@sbcglobal.net" TargetMode="External"/><Relationship Id="rId47" Type="http://schemas.openxmlformats.org/officeDocument/2006/relationships/hyperlink" Target="mailto:kitandmaryjane@yahoo.com" TargetMode="External"/><Relationship Id="rId50" Type="http://schemas.openxmlformats.org/officeDocument/2006/relationships/hyperlink" Target="mailto:lingissl@gmail.com" TargetMode="External"/><Relationship Id="rId55" Type="http://schemas.openxmlformats.org/officeDocument/2006/relationships/hyperlink" Target="mailto:nhkroll@sbcglobal.net" TargetMode="External"/><Relationship Id="rId63" Type="http://schemas.openxmlformats.org/officeDocument/2006/relationships/hyperlink" Target="mailto:grmagne9@ww.rr.com" TargetMode="External"/><Relationship Id="rId68" Type="http://schemas.openxmlformats.org/officeDocument/2006/relationships/hyperlink" Target="mailto:sjscore44@gmail.com" TargetMode="External"/><Relationship Id="rId76" Type="http://schemas.openxmlformats.org/officeDocument/2006/relationships/comments" Target="../comments1.xml"/><Relationship Id="rId7" Type="http://schemas.openxmlformats.org/officeDocument/2006/relationships/hyperlink" Target="mailto:carolann35@me.com" TargetMode="External"/><Relationship Id="rId71" Type="http://schemas.openxmlformats.org/officeDocument/2006/relationships/hyperlink" Target="mailto:cbvacek@hotmail.com" TargetMode="External"/><Relationship Id="rId2" Type="http://schemas.openxmlformats.org/officeDocument/2006/relationships/hyperlink" Target="mailto:kath131@wi.rr.com" TargetMode="External"/><Relationship Id="rId16" Type="http://schemas.openxmlformats.org/officeDocument/2006/relationships/hyperlink" Target="mailto:ericksoncarln@yahoo.com" TargetMode="External"/><Relationship Id="rId29" Type="http://schemas.openxmlformats.org/officeDocument/2006/relationships/hyperlink" Target="mailto:esmalik@msn.com" TargetMode="External"/><Relationship Id="rId11" Type="http://schemas.openxmlformats.org/officeDocument/2006/relationships/hyperlink" Target="mailto:dimae525@yahoo.com" TargetMode="External"/><Relationship Id="rId24" Type="http://schemas.openxmlformats.org/officeDocument/2006/relationships/hyperlink" Target="mailto:rholz1@wi.rr.com" TargetMode="External"/><Relationship Id="rId32" Type="http://schemas.openxmlformats.org/officeDocument/2006/relationships/hyperlink" Target="mailto:mckennacolin59@gmail.com" TargetMode="External"/><Relationship Id="rId37" Type="http://schemas.openxmlformats.org/officeDocument/2006/relationships/hyperlink" Target="mailto:rpetrach@gmail.com" TargetMode="External"/><Relationship Id="rId40" Type="http://schemas.openxmlformats.org/officeDocument/2006/relationships/hyperlink" Target="mailto:fmstrudrawa@aol.com" TargetMode="External"/><Relationship Id="rId45" Type="http://schemas.openxmlformats.org/officeDocument/2006/relationships/hyperlink" Target="mailto:linstolen@gmail.com" TargetMode="External"/><Relationship Id="rId53" Type="http://schemas.openxmlformats.org/officeDocument/2006/relationships/hyperlink" Target="mailto:pursonalityjen@gmail.com" TargetMode="External"/><Relationship Id="rId58" Type="http://schemas.openxmlformats.org/officeDocument/2006/relationships/hyperlink" Target="mailto:rmmiller10@hotmail.com" TargetMode="External"/><Relationship Id="rId66" Type="http://schemas.openxmlformats.org/officeDocument/2006/relationships/hyperlink" Target="mailto:hotgram57@hotmail.com" TargetMode="External"/><Relationship Id="rId74" Type="http://schemas.openxmlformats.org/officeDocument/2006/relationships/printerSettings" Target="../printerSettings/printerSettings2.bin"/><Relationship Id="rId5" Type="http://schemas.openxmlformats.org/officeDocument/2006/relationships/hyperlink" Target="mailto:jebaroot63@msn.com" TargetMode="External"/><Relationship Id="rId15" Type="http://schemas.openxmlformats.org/officeDocument/2006/relationships/hyperlink" Target="mailto:blerbe500@gmail.com" TargetMode="External"/><Relationship Id="rId23" Type="http://schemas.openxmlformats.org/officeDocument/2006/relationships/hyperlink" Target="mailto:ghholm2@aol.com" TargetMode="External"/><Relationship Id="rId28" Type="http://schemas.openxmlformats.org/officeDocument/2006/relationships/hyperlink" Target="mailto:leazer@wi.rr.com" TargetMode="External"/><Relationship Id="rId36" Type="http://schemas.openxmlformats.org/officeDocument/2006/relationships/hyperlink" Target="mailto:wmortensen@wi.rr.com" TargetMode="External"/><Relationship Id="rId49" Type="http://schemas.openxmlformats.org/officeDocument/2006/relationships/hyperlink" Target="mailto:klfritz1@gmail.com" TargetMode="External"/><Relationship Id="rId57" Type="http://schemas.openxmlformats.org/officeDocument/2006/relationships/hyperlink" Target="mailto:lindalewis099@gmail.com" TargetMode="External"/><Relationship Id="rId61" Type="http://schemas.openxmlformats.org/officeDocument/2006/relationships/hyperlink" Target="mailto:sdn313@hotmail.com" TargetMode="External"/><Relationship Id="rId10" Type="http://schemas.openxmlformats.org/officeDocument/2006/relationships/hyperlink" Target="mailto:dalton6466@gmail.com" TargetMode="External"/><Relationship Id="rId19" Type="http://schemas.openxmlformats.org/officeDocument/2006/relationships/hyperlink" Target="mailto:sandra.georgeson@yahoo.com" TargetMode="External"/><Relationship Id="rId31" Type="http://schemas.openxmlformats.org/officeDocument/2006/relationships/hyperlink" Target="mailto:matthew3239@sbcglobal.net" TargetMode="External"/><Relationship Id="rId44" Type="http://schemas.openxmlformats.org/officeDocument/2006/relationships/hyperlink" Target="mailto:bblickle@wi.rr.com" TargetMode="External"/><Relationship Id="rId52" Type="http://schemas.openxmlformats.org/officeDocument/2006/relationships/hyperlink" Target="mailto:crlpeppershaker@hol.com" TargetMode="External"/><Relationship Id="rId60" Type="http://schemas.openxmlformats.org/officeDocument/2006/relationships/hyperlink" Target="mailto:vda0369@yahoo.com" TargetMode="External"/><Relationship Id="rId65" Type="http://schemas.openxmlformats.org/officeDocument/2006/relationships/hyperlink" Target="mailto:extrovert.grampa@gmail.com" TargetMode="External"/><Relationship Id="rId73" Type="http://schemas.openxmlformats.org/officeDocument/2006/relationships/hyperlink" Target="mailto:conniegardner1@hotmail.com" TargetMode="External"/><Relationship Id="rId4" Type="http://schemas.openxmlformats.org/officeDocument/2006/relationships/hyperlink" Target="mailto:davebackmann@gmail.com" TargetMode="External"/><Relationship Id="rId9" Type="http://schemas.openxmlformats.org/officeDocument/2006/relationships/hyperlink" Target="mailto:carrie.black2228@gmail.com" TargetMode="External"/><Relationship Id="rId14" Type="http://schemas.openxmlformats.org/officeDocument/2006/relationships/hyperlink" Target="mailto:ldoe@wi.rr.com" TargetMode="External"/><Relationship Id="rId22" Type="http://schemas.openxmlformats.org/officeDocument/2006/relationships/hyperlink" Target="mailto:jchewitt1943@gmail.com" TargetMode="External"/><Relationship Id="rId27" Type="http://schemas.openxmlformats.org/officeDocument/2006/relationships/hyperlink" Target="mailto:jkiemen1942@gmail.com" TargetMode="External"/><Relationship Id="rId30" Type="http://schemas.openxmlformats.org/officeDocument/2006/relationships/hyperlink" Target="mailto:mary.ann.mantey@gmail.com" TargetMode="External"/><Relationship Id="rId35" Type="http://schemas.openxmlformats.org/officeDocument/2006/relationships/hyperlink" Target="mailto:mitzymm@yahoo.com" TargetMode="External"/><Relationship Id="rId43" Type="http://schemas.openxmlformats.org/officeDocument/2006/relationships/hyperlink" Target="mailto:jeffwunderle@yahoo.com" TargetMode="External"/><Relationship Id="rId48" Type="http://schemas.openxmlformats.org/officeDocument/2006/relationships/hyperlink" Target="mailto:fcurran@wi.rr.com" TargetMode="External"/><Relationship Id="rId56" Type="http://schemas.openxmlformats.org/officeDocument/2006/relationships/hyperlink" Target="mailto:bettylewis4120@gmail.com" TargetMode="External"/><Relationship Id="rId64" Type="http://schemas.openxmlformats.org/officeDocument/2006/relationships/hyperlink" Target="mailto:dw.nielsen@yahoo.com" TargetMode="External"/><Relationship Id="rId69" Type="http://schemas.openxmlformats.org/officeDocument/2006/relationships/hyperlink" Target="mailto:tunie8420@aol.com" TargetMode="External"/><Relationship Id="rId8" Type="http://schemas.openxmlformats.org/officeDocument/2006/relationships/hyperlink" Target="mailto:psbelanger8@att.net" TargetMode="External"/><Relationship Id="rId51" Type="http://schemas.openxmlformats.org/officeDocument/2006/relationships/hyperlink" Target="mailto:lynette.jacobson54@gmail.com" TargetMode="External"/><Relationship Id="rId72" Type="http://schemas.openxmlformats.org/officeDocument/2006/relationships/hyperlink" Target="mailto:gltingb@gmail.com" TargetMode="External"/><Relationship Id="rId3" Type="http://schemas.openxmlformats.org/officeDocument/2006/relationships/hyperlink" Target="mailto:petvalhalla@sbcglobal.net" TargetMode="External"/><Relationship Id="rId12" Type="http://schemas.openxmlformats.org/officeDocument/2006/relationships/hyperlink" Target="mailto:chriscampbell1106@gmail.com" TargetMode="External"/><Relationship Id="rId17" Type="http://schemas.openxmlformats.org/officeDocument/2006/relationships/hyperlink" Target="mailto:conniegardner1@hotmail.com" TargetMode="External"/><Relationship Id="rId25" Type="http://schemas.openxmlformats.org/officeDocument/2006/relationships/hyperlink" Target="mailto:dubar@att.net" TargetMode="External"/><Relationship Id="rId33" Type="http://schemas.openxmlformats.org/officeDocument/2006/relationships/hyperlink" Target="mailto:jbknclm@att.net" TargetMode="External"/><Relationship Id="rId38" Type="http://schemas.openxmlformats.org/officeDocument/2006/relationships/hyperlink" Target="mailto:tjsaavedra@hotmail.com" TargetMode="External"/><Relationship Id="rId46" Type="http://schemas.openxmlformats.org/officeDocument/2006/relationships/hyperlink" Target="mailto:Kimsc31@aol.com" TargetMode="External"/><Relationship Id="rId59" Type="http://schemas.openxmlformats.org/officeDocument/2006/relationships/hyperlink" Target="mailto:mohalleyfam@sbcglobal.net" TargetMode="External"/><Relationship Id="rId67" Type="http://schemas.openxmlformats.org/officeDocument/2006/relationships/hyperlink" Target="mailto:staceyr@wi.rr.com" TargetMode="External"/><Relationship Id="rId20" Type="http://schemas.openxmlformats.org/officeDocument/2006/relationships/hyperlink" Target="mailto:jhgilby_72@yahoo.com" TargetMode="External"/><Relationship Id="rId41" Type="http://schemas.openxmlformats.org/officeDocument/2006/relationships/hyperlink" Target="mailto:mark.nancy1993@gmail.com" TargetMode="External"/><Relationship Id="rId54" Type="http://schemas.openxmlformats.org/officeDocument/2006/relationships/hyperlink" Target="mailto:jkoechell@att.net" TargetMode="External"/><Relationship Id="rId62" Type="http://schemas.openxmlformats.org/officeDocument/2006/relationships/hyperlink" Target="mailto:mnelson224@wi.rr.com" TargetMode="External"/><Relationship Id="rId70" Type="http://schemas.openxmlformats.org/officeDocument/2006/relationships/hyperlink" Target="mailto:tytrabert@att.net" TargetMode="External"/><Relationship Id="rId75" Type="http://schemas.openxmlformats.org/officeDocument/2006/relationships/vmlDrawing" Target="../drawings/vmlDrawing1.vml"/><Relationship Id="rId1" Type="http://schemas.openxmlformats.org/officeDocument/2006/relationships/hyperlink" Target="mailto:mmcorkdork@gmail.com" TargetMode="External"/><Relationship Id="rId6" Type="http://schemas.openxmlformats.org/officeDocument/2006/relationships/hyperlink" Target="mailto:abaumga08@yahoo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workbookViewId="0">
      <selection activeCell="C12" sqref="C12"/>
    </sheetView>
  </sheetViews>
  <sheetFormatPr defaultRowHeight="14.5" x14ac:dyDescent="0.35"/>
  <cols>
    <col min="1" max="1" width="27.6328125" customWidth="1"/>
    <col min="2" max="2" width="9.81640625" customWidth="1"/>
    <col min="3" max="4" width="10.1796875" customWidth="1"/>
    <col min="5" max="5" width="9.6328125" customWidth="1"/>
    <col min="7" max="7" width="14.453125" customWidth="1"/>
    <col min="8" max="8" width="9.36328125" customWidth="1"/>
    <col min="9" max="9" width="10" customWidth="1"/>
  </cols>
  <sheetData>
    <row r="1" spans="1:8" ht="15" thickBot="1" x14ac:dyDescent="0.4"/>
    <row r="2" spans="1:8" ht="18.5" x14ac:dyDescent="0.45">
      <c r="A2" s="144" t="s">
        <v>514</v>
      </c>
      <c r="B2" s="145"/>
      <c r="C2" s="145"/>
      <c r="D2" s="145"/>
      <c r="E2" s="145"/>
      <c r="F2" s="145"/>
      <c r="G2" s="145"/>
      <c r="H2" s="146"/>
    </row>
    <row r="3" spans="1:8" x14ac:dyDescent="0.35">
      <c r="A3" s="2"/>
      <c r="B3" s="11" t="s">
        <v>516</v>
      </c>
      <c r="C3" s="11" t="s">
        <v>6</v>
      </c>
      <c r="D3" s="27" t="s">
        <v>511</v>
      </c>
      <c r="E3" s="3"/>
      <c r="F3" s="3"/>
      <c r="G3" s="3"/>
      <c r="H3" s="6"/>
    </row>
    <row r="4" spans="1:8" x14ac:dyDescent="0.35">
      <c r="A4" s="2" t="s">
        <v>55</v>
      </c>
      <c r="B4" s="13">
        <f>COUNTIF(Data!W$4:W243,"S")</f>
        <v>33</v>
      </c>
      <c r="C4" s="45">
        <f>SUMIF(Data!W$4:W243,"S",Data!U$4:U243)</f>
        <v>54700</v>
      </c>
      <c r="D4" s="92">
        <f>+C4/C$9</f>
        <v>0.24590679817660335</v>
      </c>
      <c r="E4" s="3" t="s">
        <v>53</v>
      </c>
      <c r="F4" s="3"/>
      <c r="G4" s="3"/>
      <c r="H4" s="6"/>
    </row>
    <row r="5" spans="1:8" x14ac:dyDescent="0.35">
      <c r="A5" s="2" t="s">
        <v>56</v>
      </c>
      <c r="B5" s="13">
        <f>COUNTIF(Data!W$4:W243,"I")</f>
        <v>21</v>
      </c>
      <c r="C5" s="45">
        <f>SUMIF(Data!W$4:W243,"I",Data!U$4:U243)</f>
        <v>57872</v>
      </c>
      <c r="D5" s="92">
        <f>+C5/C$9</f>
        <v>0.26016669513850804</v>
      </c>
      <c r="E5" s="3" t="str">
        <f>+"Increased pledge from 2022 (increase = $"&amp;ROUND(SUMIF(Data!W$4:W243,"I",Data!V$4:V243),0)&amp;")"</f>
        <v>Increased pledge from 2022 (increase = $7955)</v>
      </c>
      <c r="F5" s="3"/>
      <c r="G5" s="3"/>
      <c r="H5" s="6"/>
    </row>
    <row r="6" spans="1:8" x14ac:dyDescent="0.35">
      <c r="A6" s="2" t="s">
        <v>57</v>
      </c>
      <c r="B6" s="13">
        <f>COUNTIF(Data!W$4:W243,"N")</f>
        <v>16</v>
      </c>
      <c r="C6" s="45">
        <f>SUMIF(Data!W$4:W243,"N",Data!U$4:U243)</f>
        <v>26560</v>
      </c>
      <c r="D6" s="92">
        <f>+C6/C$9</f>
        <v>0.11940191150951708</v>
      </c>
      <c r="E6" s="3" t="s">
        <v>52</v>
      </c>
      <c r="F6" s="3"/>
      <c r="G6" s="3"/>
      <c r="H6" s="6"/>
    </row>
    <row r="7" spans="1:8" x14ac:dyDescent="0.35">
      <c r="A7" s="2" t="s">
        <v>58</v>
      </c>
      <c r="B7" s="13">
        <f>COUNTIF(Data!W$4:W243,"D")</f>
        <v>9</v>
      </c>
      <c r="C7" s="45">
        <f>SUMIF(Data!W$4:W243,"D",Data!U$4:U243)</f>
        <v>13100</v>
      </c>
      <c r="D7" s="92">
        <f>+C7/C$9</f>
        <v>5.8891756053263321E-2</v>
      </c>
      <c r="E7" s="3" t="str">
        <f>+"Decreased pledge from 2022 (decrease = $"&amp;ABS(ROUND(SUMIF(Data!W$4:W243,"D",Data!V$4:V243),0))&amp;")"</f>
        <v>Decreased pledge from 2022 (decrease = $5360)</v>
      </c>
      <c r="F7" s="3"/>
      <c r="G7" s="3"/>
      <c r="H7" s="6"/>
    </row>
    <row r="8" spans="1:8" x14ac:dyDescent="0.35">
      <c r="A8" s="2" t="s">
        <v>507</v>
      </c>
      <c r="B8" s="44">
        <f>COUNTIF(Data!W$4:W243,"X")+COUNTIF(Data!W$4:W243,"E")</f>
        <v>110</v>
      </c>
      <c r="C8" s="45">
        <f>SUMIF(Data!W$4:W243,"X",Data!T$4:T243)+SUMIF(Data!W$4:W243,"E",Data!T$4:T243)</f>
        <v>70210</v>
      </c>
      <c r="D8" s="92">
        <f>+C8/C$9</f>
        <v>0.31563283912210821</v>
      </c>
      <c r="E8" s="3"/>
      <c r="F8" s="3"/>
      <c r="G8" s="3"/>
      <c r="H8" s="6"/>
    </row>
    <row r="9" spans="1:8" ht="15" thickBot="1" x14ac:dyDescent="0.4">
      <c r="A9" s="8" t="s">
        <v>54</v>
      </c>
      <c r="B9" s="47">
        <f>SUM(B4:B8)</f>
        <v>189</v>
      </c>
      <c r="C9" s="48">
        <f>SUM(C4:C8)</f>
        <v>222442</v>
      </c>
      <c r="D9" s="93">
        <f>SUM(D4:D8)</f>
        <v>1</v>
      </c>
      <c r="E9" s="22"/>
      <c r="F9" s="22"/>
      <c r="G9" s="22"/>
      <c r="H9" s="23"/>
    </row>
    <row r="10" spans="1:8" ht="15" thickBot="1" x14ac:dyDescent="0.4"/>
    <row r="11" spans="1:8" x14ac:dyDescent="0.35">
      <c r="A11" s="101"/>
      <c r="B11" s="102">
        <v>2021</v>
      </c>
      <c r="C11" s="102">
        <v>2022</v>
      </c>
      <c r="D11" s="103">
        <v>2023</v>
      </c>
    </row>
    <row r="12" spans="1:8" x14ac:dyDescent="0.35">
      <c r="A12" s="2" t="s">
        <v>2</v>
      </c>
      <c r="B12" s="96">
        <f>COUNTIF(Data!D$4:D243,"&gt;0")</f>
        <v>189</v>
      </c>
      <c r="C12" s="44">
        <f>COUNTIF(Data!H$4:H243,"&gt;0")+18</f>
        <v>114</v>
      </c>
      <c r="D12" s="97">
        <f>+B9</f>
        <v>189</v>
      </c>
    </row>
    <row r="13" spans="1:8" ht="15" thickBot="1" x14ac:dyDescent="0.4">
      <c r="A13" s="98" t="s">
        <v>513</v>
      </c>
      <c r="B13" s="99">
        <f>+Data!D244</f>
        <v>452163.64</v>
      </c>
      <c r="C13" s="100">
        <f>+Data!H244+84102</f>
        <v>210050.4858490566</v>
      </c>
      <c r="D13" s="104">
        <f>+C9</f>
        <v>222442</v>
      </c>
    </row>
    <row r="14" spans="1:8" ht="15" thickBot="1" x14ac:dyDescent="0.4"/>
    <row r="15" spans="1:8" ht="15" thickBot="1" x14ac:dyDescent="0.4">
      <c r="C15" s="106" t="s">
        <v>515</v>
      </c>
      <c r="D15" s="105">
        <v>400000</v>
      </c>
      <c r="E15" t="s">
        <v>517</v>
      </c>
    </row>
  </sheetData>
  <mergeCells count="1">
    <mergeCell ref="A2:H2"/>
  </mergeCells>
  <pageMargins left="0.7" right="0.7" top="0.5" bottom="0.5" header="0.3" footer="0.3"/>
  <pageSetup orientation="landscape" horizontalDpi="0" verticalDpi="0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246"/>
  <sheetViews>
    <sheetView topLeftCell="A2" workbookViewId="0">
      <pane xSplit="3" ySplit="2" topLeftCell="L24" activePane="bottomRight" state="frozen"/>
      <selection activeCell="A2" sqref="A2"/>
      <selection pane="topRight" activeCell="C2" sqref="C2"/>
      <selection pane="bottomLeft" activeCell="A4" sqref="A4"/>
      <selection pane="bottomRight" activeCell="O38" sqref="O38"/>
    </sheetView>
  </sheetViews>
  <sheetFormatPr defaultRowHeight="14.5" x14ac:dyDescent="0.35"/>
  <cols>
    <col min="1" max="1" width="4.26953125" style="139" customWidth="1"/>
    <col min="2" max="2" width="14.453125" style="1" customWidth="1"/>
    <col min="3" max="3" width="18.36328125" style="1" customWidth="1"/>
    <col min="4" max="7" width="0" style="1" hidden="1" customWidth="1"/>
    <col min="8" max="21" width="8.7265625" style="1"/>
    <col min="22" max="25" width="8.7265625" style="131"/>
    <col min="26" max="26" width="26" style="1" customWidth="1"/>
    <col min="27" max="27" width="27.54296875" style="53" customWidth="1"/>
    <col min="28" max="28" width="28.6328125" style="53" customWidth="1"/>
    <col min="29" max="29" width="15" style="53" customWidth="1"/>
    <col min="30" max="30" width="6.36328125" style="54" customWidth="1"/>
    <col min="31" max="31" width="11" style="55" customWidth="1"/>
    <col min="32" max="16384" width="8.7265625" style="1"/>
  </cols>
  <sheetData>
    <row r="1" spans="1:31" ht="24" thickBot="1" x14ac:dyDescent="0.6">
      <c r="B1" s="147" t="s">
        <v>358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20"/>
      <c r="Y1" s="120"/>
      <c r="Z1" s="120"/>
    </row>
    <row r="2" spans="1:31" ht="42.5" customHeight="1" thickBot="1" x14ac:dyDescent="0.4">
      <c r="B2" s="150" t="s">
        <v>2</v>
      </c>
      <c r="C2" s="151"/>
      <c r="D2" s="148" t="s">
        <v>3</v>
      </c>
      <c r="E2" s="154">
        <v>2022</v>
      </c>
      <c r="F2" s="155"/>
      <c r="G2" s="156"/>
      <c r="H2" s="163">
        <v>2023</v>
      </c>
      <c r="I2" s="164"/>
      <c r="J2" s="164"/>
      <c r="K2" s="164"/>
      <c r="L2" s="165"/>
      <c r="M2" s="163">
        <v>2024</v>
      </c>
      <c r="N2" s="164"/>
      <c r="O2" s="164"/>
      <c r="P2" s="164"/>
      <c r="Q2" s="165"/>
      <c r="R2" s="163">
        <v>2025</v>
      </c>
      <c r="S2" s="164"/>
      <c r="T2" s="164"/>
      <c r="U2" s="165"/>
      <c r="V2" s="152" t="s">
        <v>632</v>
      </c>
      <c r="W2" s="153"/>
      <c r="X2" s="175"/>
      <c r="Y2" s="175"/>
      <c r="Z2" s="157" t="s">
        <v>387</v>
      </c>
      <c r="AA2" s="158"/>
      <c r="AB2" s="158"/>
      <c r="AC2" s="158"/>
      <c r="AD2" s="158"/>
      <c r="AE2" s="159"/>
    </row>
    <row r="3" spans="1:31" s="67" customFormat="1" ht="29.5" thickBot="1" x14ac:dyDescent="0.4">
      <c r="A3" s="140" t="s">
        <v>637</v>
      </c>
      <c r="B3" s="59" t="s">
        <v>0</v>
      </c>
      <c r="C3" s="60" t="s">
        <v>1</v>
      </c>
      <c r="D3" s="149"/>
      <c r="E3" s="61" t="s">
        <v>4</v>
      </c>
      <c r="F3" s="62" t="s">
        <v>5</v>
      </c>
      <c r="G3" s="63" t="s">
        <v>45</v>
      </c>
      <c r="H3" s="61" t="s">
        <v>4</v>
      </c>
      <c r="I3" s="62" t="s">
        <v>8</v>
      </c>
      <c r="J3" s="62" t="s">
        <v>5</v>
      </c>
      <c r="K3" s="68" t="s">
        <v>501</v>
      </c>
      <c r="L3" s="64" t="s">
        <v>500</v>
      </c>
      <c r="M3" s="61" t="s">
        <v>4</v>
      </c>
      <c r="N3" s="62" t="s">
        <v>8</v>
      </c>
      <c r="O3" s="62" t="s">
        <v>5</v>
      </c>
      <c r="P3" s="68" t="s">
        <v>501</v>
      </c>
      <c r="Q3" s="64" t="s">
        <v>500</v>
      </c>
      <c r="R3" s="61" t="s">
        <v>4</v>
      </c>
      <c r="S3" s="62" t="s">
        <v>8</v>
      </c>
      <c r="T3" s="68" t="s">
        <v>501</v>
      </c>
      <c r="U3" s="64" t="s">
        <v>500</v>
      </c>
      <c r="V3" s="128" t="s">
        <v>6</v>
      </c>
      <c r="W3" s="129" t="s">
        <v>9</v>
      </c>
      <c r="X3" s="183" t="s">
        <v>686</v>
      </c>
      <c r="Y3" s="176" t="s">
        <v>682</v>
      </c>
      <c r="Z3" s="125" t="s">
        <v>551</v>
      </c>
      <c r="AA3" s="65" t="s">
        <v>386</v>
      </c>
      <c r="AB3" s="65" t="s">
        <v>388</v>
      </c>
      <c r="AC3" s="65" t="s">
        <v>389</v>
      </c>
      <c r="AD3" s="65" t="s">
        <v>390</v>
      </c>
      <c r="AE3" s="66" t="s">
        <v>391</v>
      </c>
    </row>
    <row r="4" spans="1:31" x14ac:dyDescent="0.35">
      <c r="B4" s="21" t="s">
        <v>7</v>
      </c>
      <c r="C4" s="4" t="s">
        <v>639</v>
      </c>
      <c r="D4" s="12">
        <v>624</v>
      </c>
      <c r="E4" s="15">
        <v>624</v>
      </c>
      <c r="F4" s="12">
        <v>456</v>
      </c>
      <c r="G4" s="20">
        <f t="shared" ref="G4:G11" si="0">IF(E4=0,F4,IF(AND(F4=0,J4="A"),E4,IF(F4&gt;E4,F4, IF(F4/E4&gt;0.73,E4,F4))))</f>
        <v>624</v>
      </c>
      <c r="H4" s="15">
        <v>24</v>
      </c>
      <c r="I4" s="19" t="s">
        <v>44</v>
      </c>
      <c r="J4" s="12">
        <v>456</v>
      </c>
      <c r="K4" s="12"/>
      <c r="L4" s="20">
        <f>IF(I4="",0,IF(K4&gt;0,0,IF(I4="A",H4,IF(I4="M",H4*12,IF(I4="W",H4*(Lookups!$B$9+1),IF(I4="B",H4*(+Lookups!$B$10),IF(I4="S",H4*2,IF(AND(H4=0,K4&gt;0),K4,"ERROR"))))))))</f>
        <v>624</v>
      </c>
      <c r="M4" s="15"/>
      <c r="N4" s="19"/>
      <c r="O4" s="12">
        <v>408</v>
      </c>
      <c r="P4" s="12">
        <v>500</v>
      </c>
      <c r="Q4" s="20">
        <f>IF(N4="",0,IF(P4&gt;0,0,IF(N4="A",M4,IF(N4="M",M4*12,IF(N4="W",M4*(Lookups!$B$9),IF(N4="B",M4*(+Lookups!$B$10),IF(N4="S",M4*2,IF(AND(M4=0,P4&gt;0),P4,"ERROR"))))))))</f>
        <v>0</v>
      </c>
      <c r="R4" s="15"/>
      <c r="S4" s="19"/>
      <c r="T4" s="12">
        <v>500</v>
      </c>
      <c r="U4" s="20">
        <f>IF(R4="",0,IF(T4&gt;0,0,IF(S4="A",R4,IF(S4="M",R4*12,IF(S4="W",R4*Lookups!B$9,IF(S4="B",R4*+Lookups!B$10,IF(S4="S",R4*2,IF(AND(R4=0,T4&gt;0),T4,"ERROR"))))))))</f>
        <v>0</v>
      </c>
      <c r="V4" s="130" t="str">
        <f>IF(OR(AND(Q4=0,H4=0),P4&gt;0),"",IF(AND(I4="W",N4="W"),ROUND(Q4-(H4*Lookups!$B$9),0),ROUND(+Q4-L4,0)))</f>
        <v/>
      </c>
      <c r="W4" s="75" t="str">
        <f>IF(P4&gt;0,"E",IF(V4="","",IF(V4=0,"S",IF(AND(V4&gt;0,NOT(H4=0)),"I",IF(AND(V4&gt;0,H4=0),"N",IF(V4&lt;0,"D","ERROR"))))))</f>
        <v>E</v>
      </c>
      <c r="X4" s="123" t="str">
        <f>IF(M4&gt;0,IF(OR(O4=Q4,O4&gt;Q4),"Y","N"),"")</f>
        <v/>
      </c>
      <c r="Y4" s="123" t="str">
        <f>IF(AND(P4&gt;0,W4="E"),"Y",IF(AND(OR(P4&lt;0,P4=0),W4="E"),"P",""))</f>
        <v>Y</v>
      </c>
      <c r="Z4" s="121"/>
      <c r="AB4" s="56"/>
    </row>
    <row r="5" spans="1:31" x14ac:dyDescent="0.35">
      <c r="B5" s="21" t="s">
        <v>7</v>
      </c>
      <c r="C5" s="4" t="s">
        <v>640</v>
      </c>
      <c r="D5" s="12"/>
      <c r="E5" s="15"/>
      <c r="F5" s="12"/>
      <c r="G5" s="20"/>
      <c r="H5" s="15"/>
      <c r="I5" s="19"/>
      <c r="J5" s="12"/>
      <c r="K5" s="12"/>
      <c r="L5" s="20">
        <f>IF(I5="",0,IF(K5&gt;0,0,IF(I5="A",H5,IF(I5="M",H5*12,IF(I5="W",H5*(Lookups!$B$9+1),IF(I5="B",H5*(+Lookups!$B$10),IF(I5="S",H5*2,IF(AND(H5=0,K5&gt;0),K5,"ERROR"))))))))</f>
        <v>0</v>
      </c>
      <c r="M5" s="15"/>
      <c r="N5" s="19"/>
      <c r="O5" s="12">
        <v>1089</v>
      </c>
      <c r="P5" s="12">
        <v>1600</v>
      </c>
      <c r="Q5" s="20">
        <f>IF(N5="",0,IF(P5&gt;0,0,IF(N5="A",M5,IF(N5="M",M5*12,IF(N5="W",M5*(Lookups!$B$9),IF(N5="B",M5*(+Lookups!$B$10),IF(N5="S",M5*2,IF(AND(M5=0,P5&gt;0),P5,"ERROR"))))))))</f>
        <v>0</v>
      </c>
      <c r="R5" s="15"/>
      <c r="S5" s="19"/>
      <c r="T5" s="12"/>
      <c r="U5" s="20">
        <f>IF(R5="",0,IF(T5&gt;0,0,IF(S5="A",R5,IF(S5="M",R5*12,IF(S5="W",R5*Lookups!B$9,IF(S5="B",R5*+Lookups!B$10,IF(S5="S",R5*2,IF(AND(R5=0,T5&gt;0),T5,"ERROR"))))))))</f>
        <v>0</v>
      </c>
      <c r="V5" s="130" t="str">
        <f>IF(OR(AND(Q5=0,H5=0),P5&gt;0),"",IF(AND(I5="W",N5="W"),ROUND(Q5-(H5*Lookups!$B$9),0),ROUND(+Q5-L5,0)))</f>
        <v/>
      </c>
      <c r="W5" s="75" t="str">
        <f t="shared" ref="W5:W68" si="1">IF(P5&gt;0,"E",IF(V5="","",IF(V5=0,"S",IF(AND(V5&gt;0,NOT(H5=0)),"I",IF(AND(V5&gt;0,H5=0),"N",IF(V5&lt;0,"D","ERROR"))))))</f>
        <v>E</v>
      </c>
      <c r="X5" s="123" t="str">
        <f t="shared" ref="X4:X6" si="2">IF(Q5&gt;0,IF(OR(O5=Q5,O5&gt;Q5),"Y","N"),"")</f>
        <v/>
      </c>
      <c r="Y5" s="123" t="str">
        <f t="shared" ref="Y5:Y68" si="3">IF(AND(P5&gt;0,W5="E"),"Y",IF(AND(OR(P5&lt;0,P5=0),W5="E"),"P",""))</f>
        <v>Y</v>
      </c>
      <c r="Z5" s="121"/>
      <c r="AB5" s="56"/>
    </row>
    <row r="6" spans="1:31" x14ac:dyDescent="0.35">
      <c r="A6" s="139" t="s">
        <v>638</v>
      </c>
      <c r="B6" s="21" t="s">
        <v>231</v>
      </c>
      <c r="C6" s="4" t="s">
        <v>232</v>
      </c>
      <c r="D6" s="12">
        <v>100</v>
      </c>
      <c r="E6" s="15"/>
      <c r="F6" s="12">
        <v>40</v>
      </c>
      <c r="G6" s="20">
        <f t="shared" si="0"/>
        <v>40</v>
      </c>
      <c r="H6" s="15"/>
      <c r="I6" s="19"/>
      <c r="J6" s="12"/>
      <c r="K6" s="12"/>
      <c r="L6" s="20">
        <f>IF(I6="",0,IF(K6&gt;0,0,IF(I6="A",H6,IF(I6="M",H6*12,IF(I6="W",H6*(Lookups!$B$9+1),IF(I6="B",H6*(+Lookups!$B$10),IF(I6="S",H6*2,IF(AND(H6=0,K6&gt;0),K6,"ERROR"))))))))</f>
        <v>0</v>
      </c>
      <c r="M6" s="15"/>
      <c r="N6" s="19"/>
      <c r="O6" s="12">
        <v>0</v>
      </c>
      <c r="P6" s="12"/>
      <c r="Q6" s="20">
        <f>IF(N6="",0,IF(P6&gt;0,0,IF(N6="A",M6,IF(N6="M",M6*12,IF(N6="W",M6*(Lookups!$B$9),IF(N6="B",M6*(+Lookups!$B$10),IF(N6="S",M6*2,IF(AND(M6=0,P6&gt;0),P6,"ERROR"))))))))</f>
        <v>0</v>
      </c>
      <c r="R6" s="15"/>
      <c r="S6" s="19"/>
      <c r="T6" s="12"/>
      <c r="U6" s="20">
        <f>IF(R6="",0,IF(T6&gt;0,0,IF(S6="A",R6,IF(S6="M",R6*12,IF(S6="W",R6*Lookups!B$9,IF(S6="B",R6*+Lookups!B$10,IF(S6="S",R6*2,IF(AND(R6=0,T6&gt;0),T6,"ERROR"))))))))</f>
        <v>0</v>
      </c>
      <c r="V6" s="130" t="str">
        <f>IF(OR(AND(Q6=0,H6=0),P6&gt;0),"",IF(AND(I6="W",N6="W"),ROUND(Q6-(H6*Lookups!$B$9),0),ROUND(+Q6-L6,0)))</f>
        <v/>
      </c>
      <c r="W6" s="75" t="str">
        <f t="shared" si="1"/>
        <v/>
      </c>
      <c r="X6" s="123" t="str">
        <f t="shared" si="2"/>
        <v/>
      </c>
      <c r="Y6" s="123" t="str">
        <f t="shared" si="3"/>
        <v/>
      </c>
      <c r="Z6" s="121"/>
    </row>
    <row r="7" spans="1:31" x14ac:dyDescent="0.35">
      <c r="A7" s="139" t="s">
        <v>638</v>
      </c>
      <c r="B7" s="108" t="s">
        <v>231</v>
      </c>
      <c r="C7" s="109" t="s">
        <v>233</v>
      </c>
      <c r="D7" s="110">
        <v>2120</v>
      </c>
      <c r="E7" s="111"/>
      <c r="F7" s="110">
        <v>1560</v>
      </c>
      <c r="G7" s="112">
        <f t="shared" si="0"/>
        <v>1560</v>
      </c>
      <c r="H7" s="111"/>
      <c r="I7" s="113"/>
      <c r="J7" s="110"/>
      <c r="K7" s="110"/>
      <c r="L7" s="112">
        <f>IF(I7="",0,IF(K7&gt;0,0,IF(I7="A",H7,IF(I7="M",H7*12,IF(I7="W",H7*(Lookups!$B$9+1),IF(I7="B",H7*(+Lookups!$B$10),IF(I7="S",H7*2,IF(AND(H7=0,K7&gt;0),K7,"ERROR"))))))))</f>
        <v>0</v>
      </c>
      <c r="M7" s="111"/>
      <c r="N7" s="113"/>
      <c r="O7" s="110">
        <v>0</v>
      </c>
      <c r="P7" s="110"/>
      <c r="Q7" s="112">
        <f>IF(N7="",0,IF(P7&gt;0,0,IF(N7="A",M7,IF(N7="M",M7*12,IF(N7="W",M7*(Lookups!$B$9),IF(N7="B",M7*(+Lookups!$B$10),IF(N7="S",M7*2,IF(AND(M7=0,P7&gt;0),P7,"ERROR"))))))))</f>
        <v>0</v>
      </c>
      <c r="R7" s="111"/>
      <c r="S7" s="113"/>
      <c r="T7" s="110"/>
      <c r="U7" s="83">
        <f>IF(R7="",0,IF(T7&gt;0,0,IF(S7="A",R7,IF(S7="M",R7*12,IF(S7="W",R7*Lookups!B$9,IF(S7="B",R7*+Lookups!B$10,IF(S7="S",R7*2,IF(AND(R7=0,T7&gt;0),T7,"ERROR"))))))))</f>
        <v>0</v>
      </c>
      <c r="V7" s="85" t="str">
        <f>IF(OR(AND(Q7=0,H7=0),P7&gt;0),"",IF(AND(I7="W",N7="W"),ROUND(Q7-(H7*Lookups!$B$9),0),ROUND(+Q7-L7,0)))</f>
        <v/>
      </c>
      <c r="W7" s="86" t="str">
        <f t="shared" si="1"/>
        <v/>
      </c>
      <c r="X7" s="123" t="str">
        <f>IF(Q7&gt;0,IF(OR(O7=Q7,O7&gt;Q7),"Y","N"),"")</f>
        <v/>
      </c>
      <c r="Y7" s="123" t="str">
        <f t="shared" si="3"/>
        <v/>
      </c>
      <c r="Z7" s="122"/>
      <c r="AA7" s="114" t="s">
        <v>512</v>
      </c>
      <c r="AB7" s="114"/>
      <c r="AC7" s="114"/>
      <c r="AD7" s="115"/>
      <c r="AE7" s="116"/>
    </row>
    <row r="8" spans="1:31" x14ac:dyDescent="0.35">
      <c r="A8" s="139" t="s">
        <v>638</v>
      </c>
      <c r="B8" s="21" t="s">
        <v>231</v>
      </c>
      <c r="C8" s="4" t="s">
        <v>234</v>
      </c>
      <c r="D8" s="12">
        <v>6500</v>
      </c>
      <c r="E8" s="15"/>
      <c r="F8" s="12">
        <v>5400</v>
      </c>
      <c r="G8" s="20">
        <f t="shared" si="0"/>
        <v>5400</v>
      </c>
      <c r="H8" s="15"/>
      <c r="I8" s="19"/>
      <c r="J8" s="12"/>
      <c r="K8" s="12">
        <v>5400</v>
      </c>
      <c r="L8" s="20">
        <f>IF(I8="",0,IF(K8&gt;0,0,IF(I8="A",H8,IF(I8="M",H8*12,IF(I8="W",H8*(Lookups!$B$9+1),IF(I8="B",H8*(+Lookups!$B$10),IF(I8="S",H8*2,IF(AND(H8=0,K8&gt;0),K8,"ERROR"))))))))</f>
        <v>0</v>
      </c>
      <c r="M8" s="15"/>
      <c r="N8" s="19"/>
      <c r="O8" s="12">
        <v>0</v>
      </c>
      <c r="P8" s="12"/>
      <c r="Q8" s="20">
        <f>IF(N8="",0,IF(P8&gt;0,0,IF(N8="A",M8,IF(N8="M",M8*12,IF(N8="W",M8*(Lookups!$B$9),IF(N8="B",M8*(+Lookups!$B$10),IF(N8="S",M8*2,IF(AND(M8=0,P8&gt;0),P8,"ERROR"))))))))</f>
        <v>0</v>
      </c>
      <c r="R8" s="15"/>
      <c r="S8" s="19"/>
      <c r="T8" s="12"/>
      <c r="U8" s="20">
        <f>IF(R8="",0,IF(T8&gt;0,0,IF(S8="A",R8,IF(S8="M",R8*12,IF(S8="W",R8*Lookups!B$9,IF(S8="B",R8*+Lookups!B$10,IF(S8="S",R8*2,IF(AND(R8=0,T8&gt;0),T8,"ERROR"))))))))</f>
        <v>0</v>
      </c>
      <c r="V8" s="130" t="str">
        <f>IF(OR(AND(Q8=0,H8=0),P8&gt;0),"",IF(AND(I8="W",N8="W"),ROUND(Q8-(H8*Lookups!$B$9),0),ROUND(+Q8-L8,0)))</f>
        <v/>
      </c>
      <c r="W8" s="75" t="str">
        <f t="shared" si="1"/>
        <v/>
      </c>
      <c r="X8" s="123" t="str">
        <f t="shared" ref="X8:X71" si="4">IF(Q8&gt;0,IF(OR(O8=Q8,O8&gt;Q8),"Y","N"),"")</f>
        <v/>
      </c>
      <c r="Y8" s="123" t="str">
        <f t="shared" si="3"/>
        <v/>
      </c>
      <c r="Z8" s="121"/>
    </row>
    <row r="9" spans="1:31" x14ac:dyDescent="0.35">
      <c r="B9" s="21" t="s">
        <v>10</v>
      </c>
      <c r="C9" s="4" t="s">
        <v>11</v>
      </c>
      <c r="D9" s="12">
        <v>1400</v>
      </c>
      <c r="E9" s="15">
        <v>1540</v>
      </c>
      <c r="F9" s="12">
        <v>725</v>
      </c>
      <c r="G9" s="20">
        <f t="shared" si="0"/>
        <v>725</v>
      </c>
      <c r="H9" s="15">
        <v>1500</v>
      </c>
      <c r="I9" s="19" t="s">
        <v>38</v>
      </c>
      <c r="J9" s="12">
        <v>1000</v>
      </c>
      <c r="K9" s="12"/>
      <c r="L9" s="20">
        <f>IF(I9="",0,IF(K9&gt;0,0,IF(I9="A",H9,IF(I9="M",H9*12,IF(I9="W",H9*(Lookups!$B$9+1),IF(I9="B",H9*(+Lookups!$B$10),IF(I9="S",H9*2,IF(AND(H9=0,K9&gt;0),K9,"ERROR"))))))))</f>
        <v>1500</v>
      </c>
      <c r="M9" s="15">
        <v>1500</v>
      </c>
      <c r="N9" s="19" t="s">
        <v>38</v>
      </c>
      <c r="O9" s="12">
        <v>1000</v>
      </c>
      <c r="P9" s="12"/>
      <c r="Q9" s="20">
        <f>IF(N9="",0,IF(P9&gt;0,0,IF(N9="A",M9,IF(N9="M",M9*12,IF(N9="W",M9*(Lookups!$B$9),IF(N9="B",M9*(+Lookups!$B$10),IF(N9="S",M9*2,IF(AND(M9=0,P9&gt;0),P9,"ERROR"))))))))</f>
        <v>1500</v>
      </c>
      <c r="R9" s="15">
        <v>1500</v>
      </c>
      <c r="S9" s="19" t="s">
        <v>38</v>
      </c>
      <c r="T9" s="12"/>
      <c r="U9" s="20">
        <f>IF(R9="",0,IF(T9&gt;0,0,IF(S9="A",R9,IF(S9="M",R9*12,IF(S9="W",R9*Lookups!B$9,IF(S9="B",R9*+Lookups!B$10,IF(S9="S",R9*2,IF(AND(R9=0,T9&gt;0),T9,"ERROR"))))))))</f>
        <v>1500</v>
      </c>
      <c r="V9" s="130">
        <f>IF(OR(AND(Q9=0,H9=0),P9&gt;0),"",IF(AND(I9="W",N9="W"),ROUND(Q9-(H9*Lookups!$B$9),0),ROUND(+Q9-L9,0)))</f>
        <v>0</v>
      </c>
      <c r="W9" s="75" t="str">
        <f t="shared" si="1"/>
        <v>S</v>
      </c>
      <c r="X9" s="123" t="str">
        <f t="shared" si="4"/>
        <v>N</v>
      </c>
      <c r="Y9" s="123" t="str">
        <f t="shared" si="3"/>
        <v/>
      </c>
      <c r="Z9" s="121"/>
      <c r="AA9" s="52" t="s">
        <v>399</v>
      </c>
      <c r="AB9" s="53" t="s">
        <v>398</v>
      </c>
      <c r="AC9" s="53" t="s">
        <v>400</v>
      </c>
      <c r="AD9" s="54" t="s">
        <v>395</v>
      </c>
      <c r="AE9" s="55">
        <v>53126</v>
      </c>
    </row>
    <row r="10" spans="1:31" x14ac:dyDescent="0.35">
      <c r="A10" s="139" t="s">
        <v>638</v>
      </c>
      <c r="B10" s="21" t="s">
        <v>10</v>
      </c>
      <c r="C10" s="4" t="s">
        <v>235</v>
      </c>
      <c r="D10" s="12">
        <v>2000</v>
      </c>
      <c r="E10" s="15"/>
      <c r="F10" s="12">
        <v>3000</v>
      </c>
      <c r="G10" s="20">
        <f t="shared" si="0"/>
        <v>3000</v>
      </c>
      <c r="H10" s="15"/>
      <c r="I10" s="19"/>
      <c r="J10" s="12">
        <v>3000</v>
      </c>
      <c r="K10" s="12">
        <v>3000</v>
      </c>
      <c r="L10" s="20">
        <f>IF(I10="",0,IF(K10&gt;0,0,IF(I10="A",H10,IF(I10="M",H10*12,IF(I10="W",H10*(Lookups!$B$9+1),IF(I10="B",H10*(+Lookups!$B$10),IF(I10="S",H10*2,IF(AND(H10=0,K10&gt;0),K10,"ERROR"))))))))</f>
        <v>0</v>
      </c>
      <c r="M10" s="15"/>
      <c r="N10" s="19"/>
      <c r="O10" s="12">
        <v>0</v>
      </c>
      <c r="P10" s="166"/>
      <c r="Q10" s="20">
        <f>IF(N10="",0,IF(P10&gt;0,0,IF(N10="A",M10,IF(N10="M",M10*12,IF(N10="W",M10*(Lookups!$B$9),IF(N10="B",M10*(+Lookups!$B$10),IF(N10="S",M10*2,IF(AND(M10=0,P10&gt;0),P10,"ERROR"))))))))</f>
        <v>0</v>
      </c>
      <c r="R10" s="15"/>
      <c r="S10" s="19"/>
      <c r="T10" s="12">
        <v>3000</v>
      </c>
      <c r="U10" s="20">
        <f>IF(R10="",0,IF(T10&gt;0,0,IF(S10="A",R10,IF(S10="M",R10*12,IF(S10="W",R10*Lookups!B$9,IF(S10="B",R10*+Lookups!B$10,IF(S10="S",R10*2,IF(AND(R10=0,T10&gt;0),T10,"ERROR"))))))))</f>
        <v>0</v>
      </c>
      <c r="V10" s="130" t="str">
        <f>IF(OR(AND(Q10=0,H10=0),P10&gt;0),"",IF(AND(I10="W",N10="W"),ROUND(Q10-(H10*Lookups!$B$9),0),ROUND(+Q10-L10,0)))</f>
        <v/>
      </c>
      <c r="W10" s="75" t="str">
        <f t="shared" si="1"/>
        <v/>
      </c>
      <c r="X10" s="123" t="str">
        <f t="shared" si="4"/>
        <v/>
      </c>
      <c r="Y10" s="123" t="str">
        <f t="shared" si="3"/>
        <v/>
      </c>
      <c r="Z10" s="121"/>
    </row>
    <row r="11" spans="1:31" x14ac:dyDescent="0.35">
      <c r="B11" s="21" t="s">
        <v>59</v>
      </c>
      <c r="C11" s="4" t="s">
        <v>60</v>
      </c>
      <c r="D11" s="12">
        <v>900</v>
      </c>
      <c r="E11" s="15">
        <v>1200</v>
      </c>
      <c r="F11" s="12">
        <v>700</v>
      </c>
      <c r="G11" s="20">
        <f t="shared" si="0"/>
        <v>700</v>
      </c>
      <c r="H11" s="15">
        <v>100</v>
      </c>
      <c r="I11" s="19" t="s">
        <v>42</v>
      </c>
      <c r="J11" s="12">
        <v>250</v>
      </c>
      <c r="K11" s="12"/>
      <c r="L11" s="20">
        <f>IF(I11="",0,IF(K11&gt;0,0,IF(I11="A",H11,IF(I11="M",H11*12,IF(I11="W",H11*(Lookups!$B$9+1),IF(I11="B",H11*(+Lookups!$B$10),IF(I11="S",H11*2,IF(AND(H11=0,K11&gt;0),K11,"ERROR"))))))))</f>
        <v>1200</v>
      </c>
      <c r="M11" s="15"/>
      <c r="N11" s="19"/>
      <c r="O11" s="12">
        <v>375</v>
      </c>
      <c r="P11" s="12">
        <v>500</v>
      </c>
      <c r="Q11" s="20">
        <f>IF(N11="",0,IF(P11&gt;0,0,IF(N11="A",M11,IF(N11="M",M11*12,IF(N11="W",M11*(Lookups!$B$9),IF(N11="B",M11*(+Lookups!$B$10),IF(N11="S",M11*2,IF(AND(M11=0,P11&gt;0),P11,"ERROR"))))))))</f>
        <v>0</v>
      </c>
      <c r="R11" s="15"/>
      <c r="S11" s="19"/>
      <c r="T11" s="12">
        <v>500</v>
      </c>
      <c r="U11" s="20">
        <f>IF(R11="",0,IF(T11&gt;0,0,IF(S11="A",R11,IF(S11="M",R11*12,IF(S11="W",R11*Lookups!B$9,IF(S11="B",R11*+Lookups!B$10,IF(S11="S",R11*2,IF(AND(R11=0,T11&gt;0),T11,"ERROR"))))))))</f>
        <v>0</v>
      </c>
      <c r="V11" s="130" t="str">
        <f>IF(OR(AND(Q11=0,H11=0),P11&gt;0),"",IF(AND(I11="W",N11="W"),ROUND(Q11-(H11*Lookups!$B$9),0),ROUND(+Q11-L11,0)))</f>
        <v/>
      </c>
      <c r="W11" s="75" t="str">
        <f t="shared" si="1"/>
        <v>E</v>
      </c>
      <c r="X11" s="123" t="str">
        <f t="shared" si="4"/>
        <v/>
      </c>
      <c r="Y11" s="123" t="str">
        <f t="shared" si="3"/>
        <v>Y</v>
      </c>
      <c r="Z11" s="121"/>
      <c r="AA11" s="52" t="s">
        <v>397</v>
      </c>
      <c r="AB11" s="53" t="s">
        <v>396</v>
      </c>
      <c r="AC11" s="53" t="s">
        <v>394</v>
      </c>
      <c r="AD11" s="54" t="s">
        <v>395</v>
      </c>
      <c r="AE11" s="55">
        <v>53406</v>
      </c>
    </row>
    <row r="12" spans="1:31" x14ac:dyDescent="0.35">
      <c r="B12" s="21" t="s">
        <v>12</v>
      </c>
      <c r="C12" s="4" t="s">
        <v>63</v>
      </c>
      <c r="D12" s="12">
        <v>1300</v>
      </c>
      <c r="E12" s="15">
        <v>1350</v>
      </c>
      <c r="F12" s="12">
        <v>0</v>
      </c>
      <c r="G12" s="107">
        <v>1350</v>
      </c>
      <c r="H12" s="15">
        <v>1350</v>
      </c>
      <c r="I12" s="19" t="s">
        <v>38</v>
      </c>
      <c r="J12" s="12">
        <v>1300</v>
      </c>
      <c r="K12" s="12"/>
      <c r="L12" s="20">
        <f>IF(I12="",0,IF(K12&gt;0,0,IF(I12="A",H12,IF(I12="M",H12*12,IF(I12="W",H12*(Lookups!$B$9+1),IF(I12="B",H12*(+Lookups!$B$10),IF(I12="S",H12*2,IF(AND(H12=0,K12&gt;0),K12,"ERROR"))))))))</f>
        <v>1350</v>
      </c>
      <c r="M12" s="15"/>
      <c r="N12" s="19"/>
      <c r="O12" s="12">
        <v>1500</v>
      </c>
      <c r="P12" s="12">
        <v>1500</v>
      </c>
      <c r="Q12" s="20">
        <f>IF(N12="",0,IF(P12&gt;0,0,IF(N12="A",M12,IF(N12="M",M12*12,IF(N12="W",M12*(Lookups!$B$9),IF(N12="B",M12*(+Lookups!$B$10),IF(N12="S",M12*2,IF(AND(M12=0,P12&gt;0),P12,"ERROR"))))))))</f>
        <v>0</v>
      </c>
      <c r="R12" s="15"/>
      <c r="S12" s="19"/>
      <c r="T12" s="12">
        <v>1350</v>
      </c>
      <c r="U12" s="20">
        <f>IF(R12="",0,IF(T12&gt;0,0,IF(S12="A",R12,IF(S12="M",R12*12,IF(S12="W",R12*Lookups!B$9,IF(S12="B",R12*+Lookups!B$10,IF(S12="S",R12*2,IF(AND(R12=0,T12&gt;0),T12,"ERROR"))))))))</f>
        <v>0</v>
      </c>
      <c r="V12" s="130" t="str">
        <f>IF(OR(AND(Q12=0,H12=0),P12&gt;0),"",IF(AND(I12="W",N12="W"),ROUND(Q12-(H12*Lookups!$B$9),0),ROUND(+Q12-L12,0)))</f>
        <v/>
      </c>
      <c r="W12" s="75" t="str">
        <f t="shared" si="1"/>
        <v>E</v>
      </c>
      <c r="X12" s="123" t="str">
        <f t="shared" si="4"/>
        <v/>
      </c>
      <c r="Y12" s="123" t="str">
        <f t="shared" si="3"/>
        <v>Y</v>
      </c>
      <c r="Z12" s="121"/>
    </row>
    <row r="13" spans="1:31" x14ac:dyDescent="0.35">
      <c r="A13" s="139" t="s">
        <v>638</v>
      </c>
      <c r="B13" s="108" t="s">
        <v>13</v>
      </c>
      <c r="C13" s="109" t="s">
        <v>14</v>
      </c>
      <c r="D13" s="110">
        <v>1800</v>
      </c>
      <c r="E13" s="111">
        <v>2100</v>
      </c>
      <c r="F13" s="110">
        <v>1575</v>
      </c>
      <c r="G13" s="112">
        <f t="shared" ref="G13:G34" si="5">IF(E13=0,F13,IF(AND(F13=0,J13="A"),E13,IF(F13&gt;E13,F13, IF(F13/E13&gt;0.73,E13,F13))))</f>
        <v>2100</v>
      </c>
      <c r="H13" s="111">
        <v>175</v>
      </c>
      <c r="I13" s="113" t="s">
        <v>42</v>
      </c>
      <c r="J13" s="110">
        <v>1575</v>
      </c>
      <c r="K13" s="110"/>
      <c r="L13" s="112">
        <f>IF(I13="",0,IF(K13&gt;0,0,IF(I13="A",H13,IF(I13="M",H13*12,IF(I13="W",H13*(Lookups!$B$9+1),IF(I13="B",H13*(+Lookups!$B$10),IF(I13="S",H13*2,IF(AND(H13=0,K13&gt;0),K13,"ERROR"))))))))</f>
        <v>2100</v>
      </c>
      <c r="M13" s="111"/>
      <c r="N13" s="113"/>
      <c r="O13" s="110">
        <v>0</v>
      </c>
      <c r="P13" s="110"/>
      <c r="Q13" s="112">
        <f>IF(N13="",0,IF(P13&gt;0,0,IF(N13="A",M13,IF(N13="M",M13*12,IF(N13="W",M13*(Lookups!$B$9),IF(N13="B",M13*(+Lookups!$B$10),IF(N13="S",M13*2,IF(AND(M13=0,P13&gt;0),P13,"ERROR"))))))))</f>
        <v>0</v>
      </c>
      <c r="R13" s="111"/>
      <c r="S13" s="113"/>
      <c r="T13" s="110"/>
      <c r="U13" s="112">
        <f>IF(R13="",0,IF(T13&gt;0,0,IF(S13="A",R13,IF(S13="M",R13*12,IF(S13="W",R13*Lookups!B$9,IF(S13="B",R13*+Lookups!B$10,IF(S13="S",R13*2,IF(AND(R13=0,T13&gt;0),T13,"ERROR"))))))))</f>
        <v>0</v>
      </c>
      <c r="V13" s="85">
        <f>IF(OR(AND(Q13=0,H13=0),P13&gt;0),"",IF(AND(I13="W",N13="W"),ROUND(Q13-(H13*Lookups!$B$9),0),ROUND(+Q13-L13,0)))</f>
        <v>-2100</v>
      </c>
      <c r="W13" s="173" t="s">
        <v>631</v>
      </c>
      <c r="X13" s="123" t="str">
        <f t="shared" si="4"/>
        <v/>
      </c>
      <c r="Y13" s="123" t="str">
        <f t="shared" si="3"/>
        <v/>
      </c>
      <c r="Z13" s="122"/>
      <c r="AA13" s="117" t="s">
        <v>401</v>
      </c>
      <c r="AB13" s="114" t="s">
        <v>402</v>
      </c>
      <c r="AC13" s="114" t="s">
        <v>394</v>
      </c>
      <c r="AD13" s="115" t="s">
        <v>395</v>
      </c>
      <c r="AE13" s="116">
        <v>53405</v>
      </c>
    </row>
    <row r="14" spans="1:31" x14ac:dyDescent="0.35">
      <c r="B14" s="21" t="s">
        <v>61</v>
      </c>
      <c r="C14" s="4" t="s">
        <v>62</v>
      </c>
      <c r="D14" s="12">
        <v>1200</v>
      </c>
      <c r="E14" s="15">
        <v>1200</v>
      </c>
      <c r="F14" s="12">
        <v>900</v>
      </c>
      <c r="G14" s="20">
        <f t="shared" si="5"/>
        <v>1200</v>
      </c>
      <c r="H14" s="15">
        <v>100</v>
      </c>
      <c r="I14" s="19" t="s">
        <v>42</v>
      </c>
      <c r="J14" s="12">
        <v>900</v>
      </c>
      <c r="K14" s="12"/>
      <c r="L14" s="20">
        <f>IF(I14="",0,IF(K14&gt;0,0,IF(I14="A",H14,IF(I14="M",H14*12,IF(I14="W",H14*(Lookups!$B$9+1),IF(I14="B",H14*(+Lookups!$B$10),IF(I14="S",H14*2,IF(AND(H14=0,K14&gt;0),K14,"ERROR"))))))))</f>
        <v>1200</v>
      </c>
      <c r="M14" s="15"/>
      <c r="N14" s="19"/>
      <c r="O14" s="12">
        <v>800</v>
      </c>
      <c r="P14" s="12">
        <v>1200</v>
      </c>
      <c r="Q14" s="20">
        <f>IF(N14="",0,IF(P14&gt;0,0,IF(N14="A",M14,IF(N14="M",M14*12,IF(N14="W",M14*(Lookups!$B$9),IF(N14="B",M14*(+Lookups!$B$10),IF(N14="S",M14*2,IF(AND(M14=0,P14&gt;0),P14,"ERROR"))))))))</f>
        <v>0</v>
      </c>
      <c r="R14" s="15"/>
      <c r="S14" s="19"/>
      <c r="T14" s="12"/>
      <c r="U14" s="20">
        <f>IF(R14="",0,IF(T14&gt;0,0,IF(S14="A",R14,IF(S14="M",R14*12,IF(S14="W",R14*Lookups!B$9,IF(S14="B",R14*+Lookups!B$10,IF(S14="S",R14*2,IF(AND(R14=0,T14&gt;0),T14,"ERROR"))))))))</f>
        <v>0</v>
      </c>
      <c r="V14" s="130" t="str">
        <f>IF(OR(AND(Q14=0,H14=0),P14&gt;0),"",IF(AND(I14="W",N14="W"),ROUND(Q14-(H14*Lookups!$B$9),0),ROUND(+Q14-L14,0)))</f>
        <v/>
      </c>
      <c r="W14" s="75" t="str">
        <f t="shared" si="1"/>
        <v>E</v>
      </c>
      <c r="X14" s="123" t="str">
        <f t="shared" si="4"/>
        <v/>
      </c>
      <c r="Y14" s="123" t="str">
        <f t="shared" si="3"/>
        <v>Y</v>
      </c>
      <c r="Z14" s="121"/>
    </row>
    <row r="15" spans="1:31" x14ac:dyDescent="0.35">
      <c r="B15" s="21" t="s">
        <v>236</v>
      </c>
      <c r="C15" s="4" t="s">
        <v>237</v>
      </c>
      <c r="D15" s="12">
        <v>470</v>
      </c>
      <c r="E15" s="15"/>
      <c r="F15" s="12">
        <v>150</v>
      </c>
      <c r="G15" s="20">
        <f t="shared" si="5"/>
        <v>150</v>
      </c>
      <c r="H15" s="15">
        <v>50</v>
      </c>
      <c r="I15" s="19" t="s">
        <v>42</v>
      </c>
      <c r="J15" s="12">
        <v>150</v>
      </c>
      <c r="K15" s="12"/>
      <c r="L15" s="20">
        <f>IF(I15="",0,IF(K15&gt;0,0,IF(I15="A",H15,IF(I15="M",H15*12,IF(I15="W",H15*(Lookups!$B$9+1),IF(I15="B",H15*(+Lookups!$B$10),IF(I15="S",H15*2,IF(AND(H15=0,K15&gt;0),K15,"ERROR"))))))))</f>
        <v>600</v>
      </c>
      <c r="M15" s="15">
        <v>50</v>
      </c>
      <c r="N15" s="19" t="s">
        <v>42</v>
      </c>
      <c r="O15" s="12">
        <v>1170</v>
      </c>
      <c r="P15" s="12">
        <v>1200</v>
      </c>
      <c r="Q15" s="20">
        <f>IF(N15="",0,IF(P15&gt;0,0,IF(N15="A",M15,IF(N15="M",M15*12,IF(N15="W",M15*(Lookups!$B$9),IF(N15="B",M15*(+Lookups!$B$10),IF(N15="S",M15*2,IF(AND(M15=0,P15&gt;0),P15,"ERROR"))))))))</f>
        <v>0</v>
      </c>
      <c r="R15" s="15"/>
      <c r="S15" s="19"/>
      <c r="T15" s="12">
        <v>400</v>
      </c>
      <c r="U15" s="20">
        <f>IF(R15="",0,IF(T15&gt;0,0,IF(S15="A",R15,IF(S15="M",R15*12,IF(S15="W",R15*Lookups!B$9,IF(S15="B",R15*+Lookups!B$10,IF(S15="S",R15*2,IF(AND(R15=0,T15&gt;0),T15,"ERROR"))))))))</f>
        <v>0</v>
      </c>
      <c r="V15" s="130" t="str">
        <f>IF(OR(AND(Q15=0,H15=0),P15&gt;0),"",IF(AND(I15="W",N15="W"),ROUND(Q15-(H15*Lookups!$B$9),0),ROUND(+Q15-L15,0)))</f>
        <v/>
      </c>
      <c r="W15" s="75" t="str">
        <f t="shared" si="1"/>
        <v>E</v>
      </c>
      <c r="X15" s="123" t="str">
        <f t="shared" si="4"/>
        <v/>
      </c>
      <c r="Y15" s="123" t="str">
        <f t="shared" si="3"/>
        <v>Y</v>
      </c>
      <c r="Z15" s="121"/>
      <c r="AA15" s="52" t="s">
        <v>403</v>
      </c>
      <c r="AB15" s="53" t="s">
        <v>404</v>
      </c>
      <c r="AC15" s="53" t="s">
        <v>394</v>
      </c>
      <c r="AD15" s="54" t="s">
        <v>395</v>
      </c>
      <c r="AE15" s="55">
        <v>53406</v>
      </c>
    </row>
    <row r="16" spans="1:31" x14ac:dyDescent="0.35">
      <c r="B16" s="21" t="s">
        <v>15</v>
      </c>
      <c r="C16" s="4" t="s">
        <v>332</v>
      </c>
      <c r="D16" s="12"/>
      <c r="E16" s="15">
        <v>400</v>
      </c>
      <c r="F16" s="12">
        <v>60</v>
      </c>
      <c r="G16" s="20">
        <f t="shared" si="5"/>
        <v>60</v>
      </c>
      <c r="H16" s="15">
        <v>300</v>
      </c>
      <c r="I16" s="19" t="s">
        <v>38</v>
      </c>
      <c r="J16" s="12"/>
      <c r="K16" s="12"/>
      <c r="L16" s="20">
        <f>IF(I16="",0,IF(K16&gt;0,0,IF(I16="A",H16,IF(I16="M",H16*12,IF(I16="W",H16*(Lookups!$B$9+1),IF(I16="B",H16*(+Lookups!$B$10),IF(I16="S",H16*2,IF(AND(H16=0,K16&gt;0),K16,"ERROR"))))))))</f>
        <v>300</v>
      </c>
      <c r="M16" s="15"/>
      <c r="N16" s="19"/>
      <c r="O16" s="12">
        <v>180</v>
      </c>
      <c r="P16" s="12">
        <v>200</v>
      </c>
      <c r="Q16" s="20">
        <f>IF(N16="",0,IF(P16&gt;0,0,IF(N16="A",M16,IF(N16="M",M16*12,IF(N16="W",M16*(Lookups!$B$9),IF(N16="B",M16*(+Lookups!$B$10),IF(N16="S",M16*2,IF(AND(M16=0,P16&gt;0),P16,"ERROR"))))))))</f>
        <v>0</v>
      </c>
      <c r="R16" s="15"/>
      <c r="S16" s="19"/>
      <c r="T16" s="12"/>
      <c r="U16" s="20">
        <f>IF(R16="",0,IF(T16&gt;0,0,IF(S16="A",R16,IF(S16="M",R16*12,IF(S16="W",R16*Lookups!B$9,IF(S16="B",R16*+Lookups!B$10,IF(S16="S",R16*2,IF(AND(R16=0,T16&gt;0),T16,"ERROR"))))))))</f>
        <v>0</v>
      </c>
      <c r="V16" s="130" t="str">
        <f>IF(OR(AND(Q16=0,H16=0),P16&gt;0),"",IF(AND(I16="W",N16="W"),ROUND(Q16-(H16*Lookups!$B$9),0),ROUND(+Q16-L16,0)))</f>
        <v/>
      </c>
      <c r="W16" s="75" t="str">
        <f t="shared" si="1"/>
        <v>E</v>
      </c>
      <c r="X16" s="123" t="str">
        <f t="shared" si="4"/>
        <v/>
      </c>
      <c r="Y16" s="123" t="str">
        <f t="shared" si="3"/>
        <v>Y</v>
      </c>
      <c r="Z16" s="121"/>
    </row>
    <row r="17" spans="1:32" x14ac:dyDescent="0.35">
      <c r="B17" s="21" t="s">
        <v>16</v>
      </c>
      <c r="C17" s="4" t="s">
        <v>17</v>
      </c>
      <c r="D17" s="12">
        <v>3900</v>
      </c>
      <c r="E17" s="15">
        <v>4200</v>
      </c>
      <c r="F17" s="12">
        <v>3250</v>
      </c>
      <c r="G17" s="20">
        <f t="shared" si="5"/>
        <v>4200</v>
      </c>
      <c r="H17" s="15">
        <v>350</v>
      </c>
      <c r="I17" s="19" t="s">
        <v>42</v>
      </c>
      <c r="J17" s="12">
        <v>3150</v>
      </c>
      <c r="K17" s="12"/>
      <c r="L17" s="20">
        <f>IF(I17="",0,IF(K17&gt;0,0,IF(I17="A",H17,IF(I17="M",H17*12,IF(I17="W",H17*(Lookups!$B$9+1),IF(I17="B",H17*(+Lookups!$B$10),IF(I17="S",H17*2,IF(AND(H17=0,K17&gt;0),K17,"ERROR"))))))))</f>
        <v>4200</v>
      </c>
      <c r="M17" s="15">
        <v>2800</v>
      </c>
      <c r="N17" s="19" t="s">
        <v>38</v>
      </c>
      <c r="O17" s="12">
        <v>2800</v>
      </c>
      <c r="P17" s="12"/>
      <c r="Q17" s="20">
        <f>IF(N17="",0,IF(P17&gt;0,0,IF(N17="A",M17,IF(N17="M",M17*12,IF(N17="W",M17*(Lookups!$B$9),IF(N17="B",M17*(+Lookups!$B$10),IF(N17="S",M17*2,IF(AND(M17=0,P17&gt;0),P17,"ERROR"))))))))</f>
        <v>2800</v>
      </c>
      <c r="R17" s="15"/>
      <c r="S17" s="19"/>
      <c r="T17" s="12"/>
      <c r="U17" s="20">
        <f>IF(R17="",0,IF(T17&gt;0,0,IF(S17="A",R17,IF(S17="M",R17*12,IF(S17="W",R17*Lookups!B$9,IF(S17="B",R17*+Lookups!B$10,IF(S17="S",R17*2,IF(AND(R17=0,T17&gt;0),T17,"ERROR"))))))))</f>
        <v>0</v>
      </c>
      <c r="V17" s="130">
        <f>IF(OR(AND(Q17=0,H17=0),P17&gt;0),"",IF(AND(I17="W",N17="W"),ROUND(Q17-(H17*Lookups!$B$9),0),ROUND(+Q17-L17,0)))</f>
        <v>-1400</v>
      </c>
      <c r="W17" s="75" t="str">
        <f t="shared" si="1"/>
        <v>D</v>
      </c>
      <c r="X17" s="123" t="str">
        <f t="shared" si="4"/>
        <v>Y</v>
      </c>
      <c r="Y17" s="123" t="str">
        <f t="shared" si="3"/>
        <v/>
      </c>
      <c r="Z17" s="121"/>
      <c r="AA17" s="52" t="s">
        <v>405</v>
      </c>
      <c r="AB17" s="53" t="s">
        <v>406</v>
      </c>
      <c r="AC17" s="53" t="s">
        <v>394</v>
      </c>
      <c r="AD17" s="54" t="s">
        <v>395</v>
      </c>
      <c r="AE17" s="55">
        <v>53406</v>
      </c>
    </row>
    <row r="18" spans="1:32" x14ac:dyDescent="0.35">
      <c r="B18" s="21" t="s">
        <v>407</v>
      </c>
      <c r="C18" s="4" t="s">
        <v>19</v>
      </c>
      <c r="D18" s="12">
        <v>7280</v>
      </c>
      <c r="E18" s="15">
        <v>7280</v>
      </c>
      <c r="F18" s="12">
        <v>5460</v>
      </c>
      <c r="G18" s="20">
        <f t="shared" si="5"/>
        <v>7280</v>
      </c>
      <c r="H18" s="15">
        <v>750</v>
      </c>
      <c r="I18" s="19" t="s">
        <v>42</v>
      </c>
      <c r="J18" s="12">
        <v>6480</v>
      </c>
      <c r="K18" s="12"/>
      <c r="L18" s="20">
        <f>IF(I18="",0,IF(K18&gt;0,0,IF(I18="A",H18,IF(I18="M",H18*12,IF(I18="W",H18*(Lookups!$B$9+1),IF(I18="B",H18*(+Lookups!$B$10),IF(I18="S",H18*2,IF(AND(H18=0,K18&gt;0),K18,"ERROR"))))))))</f>
        <v>9000</v>
      </c>
      <c r="M18" s="15">
        <v>720</v>
      </c>
      <c r="N18" s="19" t="s">
        <v>42</v>
      </c>
      <c r="O18" s="12">
        <v>5760</v>
      </c>
      <c r="P18" s="12"/>
      <c r="Q18" s="20">
        <f>IF(N18="",0,IF(P18&gt;0,0,IF(N18="A",M18,IF(N18="M",M18*12,IF(N18="W",M18*(Lookups!$B$9),IF(N18="B",M18*(+Lookups!$B$10),IF(N18="S",M18*2,IF(AND(M18=0,P18&gt;0),P18,"ERROR"))))))))</f>
        <v>8640</v>
      </c>
      <c r="R18" s="15">
        <v>720</v>
      </c>
      <c r="S18" s="19" t="s">
        <v>42</v>
      </c>
      <c r="T18" s="12"/>
      <c r="U18" s="20">
        <f>IF(R18="",0,IF(T18&gt;0,0,IF(S18="A",R18,IF(S18="M",R18*12,IF(S18="W",R18*Lookups!B$9,IF(S18="B",R18*+Lookups!B$10,IF(S18="S",R18*2,IF(AND(R18=0,T18&gt;0),T18,"ERROR"))))))))</f>
        <v>8640</v>
      </c>
      <c r="V18" s="130">
        <f>IF(OR(AND(Q18=0,H18=0),P18&gt;0),"",IF(AND(I18="W",N18="W"),ROUND(Q18-(H18*Lookups!$B$9),0),ROUND(+Q18-L18,0)))</f>
        <v>-360</v>
      </c>
      <c r="W18" s="75" t="str">
        <f t="shared" si="1"/>
        <v>D</v>
      </c>
      <c r="X18" s="123" t="str">
        <f t="shared" si="4"/>
        <v>N</v>
      </c>
      <c r="Y18" s="123" t="str">
        <f t="shared" si="3"/>
        <v/>
      </c>
      <c r="Z18" s="121"/>
      <c r="AA18" s="52" t="s">
        <v>408</v>
      </c>
      <c r="AB18" s="53" t="s">
        <v>409</v>
      </c>
      <c r="AC18" s="53" t="s">
        <v>400</v>
      </c>
      <c r="AD18" s="54" t="s">
        <v>395</v>
      </c>
      <c r="AE18" s="55">
        <v>53126</v>
      </c>
    </row>
    <row r="19" spans="1:32" x14ac:dyDescent="0.35">
      <c r="B19" s="21" t="s">
        <v>18</v>
      </c>
      <c r="C19" s="4" t="s">
        <v>616</v>
      </c>
      <c r="D19" s="12">
        <v>4565</v>
      </c>
      <c r="E19" s="15"/>
      <c r="F19" s="12">
        <v>2710</v>
      </c>
      <c r="G19" s="20">
        <f t="shared" si="5"/>
        <v>2710</v>
      </c>
      <c r="H19" s="15"/>
      <c r="I19" s="19"/>
      <c r="J19" s="12">
        <v>2230</v>
      </c>
      <c r="K19" s="12">
        <v>2700</v>
      </c>
      <c r="L19" s="20">
        <f>IF(I19="",0,IF(K19&gt;0,0,IF(I19="A",H19,IF(I19="M",H19*12,IF(I19="W",H19*(Lookups!$B$9+1),IF(I19="B",H19*(+Lookups!$B$10),IF(I19="S",H19*2,IF(AND(H19=0,K19&gt;0),K19,"ERROR"))))))))</f>
        <v>0</v>
      </c>
      <c r="M19" s="15">
        <v>3000</v>
      </c>
      <c r="N19" s="19" t="s">
        <v>38</v>
      </c>
      <c r="O19" s="12">
        <v>1300</v>
      </c>
      <c r="P19" s="12"/>
      <c r="Q19" s="20">
        <f>IF(N19="",0,IF(P19&gt;0,0,IF(N19="A",M19,IF(N19="M",M19*12,IF(N19="W",M19*(Lookups!$B$9),IF(N19="B",M19*(+Lookups!$B$10),IF(N19="S",M19*2,IF(AND(M19=0,P19&gt;0),P19,"ERROR"))))))))</f>
        <v>3000</v>
      </c>
      <c r="R19" s="15"/>
      <c r="S19" s="19"/>
      <c r="T19" s="12"/>
      <c r="U19" s="20">
        <f>IF(R19="",0,IF(T19&gt;0,0,IF(S19="A",R19,IF(S19="M",R19*12,IF(S19="W",R19*Lookups!B$9,IF(S19="B",R19*+Lookups!B$10,IF(S19="S",R19*2,IF(AND(R19=0,T19&gt;0),T19,"ERROR"))))))))</f>
        <v>0</v>
      </c>
      <c r="V19" s="130">
        <f>IF(OR(AND(Q19=0,H19=0),P19&gt;0),"",IF(AND(I19="W",N19="W"),ROUND(Q19-(H19*Lookups!$B$9),0),ROUND(+Q19-L19,0)))</f>
        <v>3000</v>
      </c>
      <c r="W19" s="75" t="str">
        <f t="shared" si="1"/>
        <v>N</v>
      </c>
      <c r="X19" s="123" t="str">
        <f t="shared" si="4"/>
        <v>N</v>
      </c>
      <c r="Y19" s="123" t="str">
        <f t="shared" si="3"/>
        <v/>
      </c>
      <c r="Z19" s="121"/>
    </row>
    <row r="20" spans="1:32" x14ac:dyDescent="0.35">
      <c r="A20" s="139" t="s">
        <v>638</v>
      </c>
      <c r="B20" s="108" t="s">
        <v>238</v>
      </c>
      <c r="C20" s="109" t="s">
        <v>239</v>
      </c>
      <c r="D20" s="110">
        <v>11184</v>
      </c>
      <c r="E20" s="111"/>
      <c r="F20" s="110"/>
      <c r="G20" s="112">
        <f t="shared" si="5"/>
        <v>0</v>
      </c>
      <c r="H20" s="111"/>
      <c r="I20" s="113"/>
      <c r="J20" s="110"/>
      <c r="K20" s="110"/>
      <c r="L20" s="112">
        <f>IF(I20="",0,IF(K20&gt;0,0,IF(I20="A",H20,IF(I20="M",H20*12,IF(I20="W",H20*(Lookups!$B$9+1),IF(I20="B",H20*(+Lookups!$B$10),IF(I20="S",H20*2,IF(AND(H20=0,K20&gt;0),K20,"ERROR"))))))))</f>
        <v>0</v>
      </c>
      <c r="M20" s="111"/>
      <c r="N20" s="113"/>
      <c r="O20" s="110">
        <v>0</v>
      </c>
      <c r="P20" s="110"/>
      <c r="Q20" s="112">
        <f>IF(N20="",0,IF(P20&gt;0,0,IF(N20="A",M20,IF(N20="M",M20*12,IF(N20="W",M20*(Lookups!$B$9),IF(N20="B",M20*(+Lookups!$B$10),IF(N20="S",M20*2,IF(AND(M20=0,P20&gt;0),P20,"ERROR"))))))))</f>
        <v>0</v>
      </c>
      <c r="R20" s="111"/>
      <c r="S20" s="113"/>
      <c r="T20" s="110"/>
      <c r="U20" s="112">
        <f>IF(R20="",0,IF(T20&gt;0,0,IF(S20="A",R20,IF(S20="M",R20*12,IF(S20="W",R20*Lookups!B$9,IF(S20="B",R20*+Lookups!B$10,IF(S20="S",R20*2,IF(AND(R20=0,T20&gt;0),T20,"ERROR"))))))))</f>
        <v>0</v>
      </c>
      <c r="V20" s="85" t="str">
        <f>IF(OR(AND(Q20=0,H20=0),P20&gt;0),"",IF(AND(I20="W",N20="W"),ROUND(Q20-(H20*Lookups!$B$9),0),ROUND(+Q20-L20,0)))</f>
        <v/>
      </c>
      <c r="W20" s="132" t="str">
        <f t="shared" si="1"/>
        <v/>
      </c>
      <c r="X20" s="123" t="str">
        <f t="shared" si="4"/>
        <v/>
      </c>
      <c r="Y20" s="123" t="str">
        <f t="shared" si="3"/>
        <v/>
      </c>
      <c r="Z20" s="122" t="s">
        <v>505</v>
      </c>
      <c r="AA20" s="114"/>
      <c r="AB20" s="114"/>
      <c r="AC20" s="114"/>
      <c r="AD20" s="115"/>
      <c r="AE20" s="116"/>
    </row>
    <row r="21" spans="1:32" x14ac:dyDescent="0.35">
      <c r="B21" s="21" t="s">
        <v>20</v>
      </c>
      <c r="C21" s="4" t="s">
        <v>21</v>
      </c>
      <c r="D21" s="12">
        <v>1030</v>
      </c>
      <c r="E21" s="15">
        <v>1099.8</v>
      </c>
      <c r="F21" s="12">
        <v>882</v>
      </c>
      <c r="G21" s="20">
        <f t="shared" si="5"/>
        <v>1099.8</v>
      </c>
      <c r="H21" s="15">
        <v>20.75</v>
      </c>
      <c r="I21" s="19" t="s">
        <v>41</v>
      </c>
      <c r="J21" s="12">
        <v>975</v>
      </c>
      <c r="K21" s="12"/>
      <c r="L21" s="20">
        <f>IF(I21="",0,IF(K21&gt;0,0,IF(I21="A",H21,IF(I21="M",H21*12,IF(I21="W",H21*(Lookups!$B$9+1),IF(I21="B",H21*(+Lookups!$B$10),IF(I21="S",H21*2,IF(AND(H21=0,K21&gt;0),K21,"ERROR"))))))))</f>
        <v>1099.75</v>
      </c>
      <c r="M21" s="15">
        <v>30</v>
      </c>
      <c r="N21" s="19" t="s">
        <v>41</v>
      </c>
      <c r="O21" s="12">
        <v>1020</v>
      </c>
      <c r="P21" s="12"/>
      <c r="Q21" s="20">
        <f>IF(N21="",0,IF(P21&gt;0,0,IF(N21="A",M21,IF(N21="M",M21*12,IF(N21="W",M21*(Lookups!$B$9),IF(N21="B",M21*(+Lookups!$B$10),IF(N21="S",M21*2,IF(AND(M21=0,P21&gt;0),P21,"ERROR"))))))))</f>
        <v>1560</v>
      </c>
      <c r="R21" s="15">
        <v>30</v>
      </c>
      <c r="S21" s="19" t="s">
        <v>41</v>
      </c>
      <c r="T21" s="12"/>
      <c r="U21" s="20">
        <f>IF(R21="",0,IF(T21&gt;0,0,IF(S21="A",R21,IF(S21="M",R21*12,IF(S21="W",R21*Lookups!B$9,IF(S21="B",R21*+Lookups!B$10,IF(S21="S",R21*2,IF(AND(R21=0,T21&gt;0),T21,"ERROR"))))))))</f>
        <v>1560</v>
      </c>
      <c r="V21" s="130">
        <f>IF(OR(AND(Q21=0,H21=0),P21&gt;0),"",IF(AND(I21="W",N21="W"),ROUND(Q21-(H21*Lookups!$B$9),0),ROUND(+Q21-L21,0)))</f>
        <v>481</v>
      </c>
      <c r="W21" s="75" t="str">
        <f t="shared" si="1"/>
        <v>I</v>
      </c>
      <c r="X21" s="123" t="str">
        <f t="shared" si="4"/>
        <v>N</v>
      </c>
      <c r="Y21" s="123" t="str">
        <f t="shared" si="3"/>
        <v/>
      </c>
      <c r="Z21" s="121"/>
      <c r="AA21" s="52" t="s">
        <v>410</v>
      </c>
      <c r="AB21" s="53" t="s">
        <v>411</v>
      </c>
      <c r="AC21" s="53" t="s">
        <v>412</v>
      </c>
      <c r="AD21" s="54" t="s">
        <v>395</v>
      </c>
      <c r="AE21" s="55">
        <v>53108</v>
      </c>
    </row>
    <row r="22" spans="1:32" x14ac:dyDescent="0.35">
      <c r="B22" s="21" t="s">
        <v>22</v>
      </c>
      <c r="C22" s="4" t="s">
        <v>413</v>
      </c>
      <c r="D22" s="12">
        <v>2600</v>
      </c>
      <c r="E22" s="15">
        <v>2600</v>
      </c>
      <c r="F22" s="12">
        <v>1970</v>
      </c>
      <c r="G22" s="20">
        <f t="shared" si="5"/>
        <v>2600</v>
      </c>
      <c r="H22" s="15">
        <v>50</v>
      </c>
      <c r="I22" s="19" t="s">
        <v>41</v>
      </c>
      <c r="J22" s="12">
        <v>1975</v>
      </c>
      <c r="K22" s="12"/>
      <c r="L22" s="20">
        <f>IF(I22="",0,IF(K22&gt;0,0,IF(I22="A",H22,IF(I22="M",H22*12,IF(I22="W",H22*(Lookups!$B$9+1),IF(I22="B",H22*(+Lookups!$B$10),IF(I22="S",H22*2,IF(AND(H22=0,K22&gt;0),K22,"ERROR"))))))))</f>
        <v>2650</v>
      </c>
      <c r="M22" s="15">
        <v>50</v>
      </c>
      <c r="N22" s="19" t="s">
        <v>41</v>
      </c>
      <c r="O22" s="12">
        <v>1700</v>
      </c>
      <c r="P22" s="12"/>
      <c r="Q22" s="20">
        <f>IF(N22="",0,IF(P22&gt;0,0,IF(N22="A",M22,IF(N22="M",M22*12,IF(N22="W",M22*(Lookups!$B$9),IF(N22="B",M22*(+Lookups!$B$10),IF(N22="S",M22*2,IF(AND(M22=0,P22&gt;0),P22,"ERROR"))))))))</f>
        <v>2600</v>
      </c>
      <c r="R22" s="15">
        <v>50</v>
      </c>
      <c r="S22" s="19" t="s">
        <v>41</v>
      </c>
      <c r="T22" s="12"/>
      <c r="U22" s="20">
        <f>IF(R22="",0,IF(T22&gt;0,0,IF(S22="A",R22,IF(S22="M",R22*12,IF(S22="W",R22*Lookups!B$9,IF(S22="B",R22*+Lookups!B$10,IF(S22="S",R22*2,IF(AND(R22=0,T22&gt;0),T22,"ERROR"))))))))</f>
        <v>2600</v>
      </c>
      <c r="V22" s="130">
        <f>IF(OR(AND(Q22=0,H22=0),P22&gt;0),"",IF(AND(I22="W",N22="W"),ROUND(Q22-(H22*Lookups!$B$9),0),ROUND(+Q22-L22,0)))</f>
        <v>0</v>
      </c>
      <c r="W22" s="75" t="str">
        <f t="shared" si="1"/>
        <v>S</v>
      </c>
      <c r="X22" s="123" t="str">
        <f t="shared" si="4"/>
        <v>N</v>
      </c>
      <c r="Y22" s="123" t="str">
        <f t="shared" si="3"/>
        <v/>
      </c>
      <c r="Z22" s="121"/>
      <c r="AB22" s="53" t="s">
        <v>414</v>
      </c>
      <c r="AC22" s="53" t="s">
        <v>400</v>
      </c>
      <c r="AD22" s="54" t="s">
        <v>395</v>
      </c>
      <c r="AE22" s="55">
        <v>53126</v>
      </c>
      <c r="AF22" s="53" t="s">
        <v>415</v>
      </c>
    </row>
    <row r="23" spans="1:32" x14ac:dyDescent="0.35">
      <c r="B23" s="134" t="s">
        <v>25</v>
      </c>
      <c r="C23" s="4" t="s">
        <v>26</v>
      </c>
      <c r="D23" s="12">
        <v>1200</v>
      </c>
      <c r="E23" s="15">
        <v>2400</v>
      </c>
      <c r="F23" s="12">
        <v>1600</v>
      </c>
      <c r="G23" s="20">
        <f t="shared" si="5"/>
        <v>1600</v>
      </c>
      <c r="H23" s="15">
        <v>100</v>
      </c>
      <c r="I23" s="19" t="s">
        <v>42</v>
      </c>
      <c r="J23" s="12">
        <v>1800</v>
      </c>
      <c r="K23" s="12"/>
      <c r="L23" s="20">
        <f>IF(I23="",0,IF(K23&gt;0,0,IF(I23="A",H23,IF(I23="M",H23*12,IF(I23="W",H23*(Lookups!$B$9+1),IF(I23="B",H23*(+Lookups!$B$10),IF(I23="S",H23*2,IF(AND(H23=0,K23&gt;0),K23,"ERROR"))))))))</f>
        <v>1200</v>
      </c>
      <c r="M23" s="15">
        <v>100</v>
      </c>
      <c r="N23" s="19" t="s">
        <v>42</v>
      </c>
      <c r="O23" s="12">
        <v>1600</v>
      </c>
      <c r="P23" s="12">
        <v>1600</v>
      </c>
      <c r="Q23" s="20">
        <f>IF(N23="",0,IF(P23&gt;0,0,IF(N23="A",M23,IF(N23="M",M23*12,IF(N23="W",M23*(Lookups!$B$9),IF(N23="B",M23*(+Lookups!$B$10),IF(N23="S",M23*2,IF(AND(M23=0,P23&gt;0),P23,"ERROR"))))))))</f>
        <v>0</v>
      </c>
      <c r="R23" s="15"/>
      <c r="S23" s="19"/>
      <c r="T23" s="12"/>
      <c r="U23" s="20">
        <f>IF(R23="",0,IF(T23&gt;0,0,IF(S23="A",R23,IF(S23="M",R23*12,IF(S23="W",R23*Lookups!B$9,IF(S23="B",R23*+Lookups!B$10,IF(S23="S",R23*2,IF(AND(R23=0,T23&gt;0),T23,"ERROR"))))))))</f>
        <v>0</v>
      </c>
      <c r="V23" s="130" t="str">
        <f>IF(OR(AND(Q23=0,H23=0),P23&gt;0),"",IF(AND(I23="W",N23="W"),ROUND(Q23-(H23*Lookups!$B$9),0),ROUND(+Q23-L23,0)))</f>
        <v/>
      </c>
      <c r="W23" s="75" t="str">
        <f t="shared" si="1"/>
        <v>E</v>
      </c>
      <c r="X23" s="123" t="str">
        <f t="shared" si="4"/>
        <v/>
      </c>
      <c r="Y23" s="123" t="str">
        <f t="shared" si="3"/>
        <v>Y</v>
      </c>
      <c r="Z23" s="121"/>
    </row>
    <row r="24" spans="1:32" x14ac:dyDescent="0.35">
      <c r="B24" s="21" t="s">
        <v>25</v>
      </c>
      <c r="C24" s="4" t="s">
        <v>29</v>
      </c>
      <c r="D24" s="12">
        <v>900</v>
      </c>
      <c r="E24" s="15">
        <v>1000</v>
      </c>
      <c r="F24" s="12">
        <v>750</v>
      </c>
      <c r="G24" s="20">
        <f t="shared" si="5"/>
        <v>1000</v>
      </c>
      <c r="H24" s="15"/>
      <c r="I24" s="19" t="s">
        <v>38</v>
      </c>
      <c r="J24" s="12">
        <v>50</v>
      </c>
      <c r="K24" s="12">
        <v>1000</v>
      </c>
      <c r="L24" s="20">
        <f>IF(I24="",0,IF(K24&gt;0,0,IF(I24="A",H24,IF(I24="M",H24*12,IF(I24="W",H24*(Lookups!$B$9+1),IF(I24="B",H24*(+Lookups!$B$10),IF(I24="S",H24*2,IF(AND(H24=0,K24&gt;0),K24,"ERROR"))))))))</f>
        <v>0</v>
      </c>
      <c r="M24" s="15"/>
      <c r="N24" s="19"/>
      <c r="O24" s="12">
        <v>155</v>
      </c>
      <c r="P24" s="12">
        <v>200</v>
      </c>
      <c r="Q24" s="20">
        <f>IF(N24="",0,IF(P24&gt;0,0,IF(N24="A",M24,IF(N24="M",M24*12,IF(N24="W",M24*(Lookups!$B$9),IF(N24="B",M24*(+Lookups!$B$10),IF(N24="S",M24*2,IF(AND(M24=0,P24&gt;0),P24,"ERROR"))))))))</f>
        <v>0</v>
      </c>
      <c r="R24" s="15"/>
      <c r="S24" s="19"/>
      <c r="T24" s="12"/>
      <c r="U24" s="20">
        <f>IF(R24="",0,IF(T24&gt;0,0,IF(S24="A",R24,IF(S24="M",R24*12,IF(S24="W",R24*Lookups!B$9,IF(S24="B",R24*+Lookups!B$10,IF(S24="S",R24*2,IF(AND(R24=0,T24&gt;0),T24,"ERROR"))))))))</f>
        <v>0</v>
      </c>
      <c r="V24" s="130" t="str">
        <f>IF(OR(AND(Q24=0,H24=0),P24&gt;0),"",IF(AND(I24="W",N24="W"),ROUND(Q24-(H24*Lookups!$B$9),0),ROUND(+Q24-L24,0)))</f>
        <v/>
      </c>
      <c r="W24" s="75" t="str">
        <f t="shared" si="1"/>
        <v>E</v>
      </c>
      <c r="X24" s="123" t="str">
        <f t="shared" si="4"/>
        <v/>
      </c>
      <c r="Y24" s="123" t="str">
        <f t="shared" si="3"/>
        <v>Y</v>
      </c>
      <c r="Z24" s="121"/>
    </row>
    <row r="25" spans="1:32" x14ac:dyDescent="0.35">
      <c r="B25" s="21" t="s">
        <v>240</v>
      </c>
      <c r="C25" s="4" t="s">
        <v>241</v>
      </c>
      <c r="D25" s="12">
        <v>5</v>
      </c>
      <c r="E25" s="15"/>
      <c r="F25" s="12">
        <v>14</v>
      </c>
      <c r="G25" s="20">
        <f t="shared" si="5"/>
        <v>14</v>
      </c>
      <c r="H25" s="15">
        <v>10</v>
      </c>
      <c r="I25" s="19" t="s">
        <v>42</v>
      </c>
      <c r="J25" s="12">
        <v>45</v>
      </c>
      <c r="K25" s="12"/>
      <c r="L25" s="20">
        <f>IF(I25="",0,IF(K25&gt;0,0,IF(I25="A",H25,IF(I25="M",H25*12,IF(I25="W",H25*(Lookups!$B$9+1),IF(I25="B",H25*(+Lookups!$B$10),IF(I25="S",H25*2,IF(AND(H25=0,K25&gt;0),K25,"ERROR"))))))))</f>
        <v>120</v>
      </c>
      <c r="M25" s="15">
        <v>5</v>
      </c>
      <c r="N25" s="19" t="s">
        <v>41</v>
      </c>
      <c r="O25" s="12">
        <v>40</v>
      </c>
      <c r="P25" s="12">
        <v>50</v>
      </c>
      <c r="Q25" s="20">
        <f>IF(N25="",0,IF(P25&gt;0,0,IF(N25="A",M25,IF(N25="M",M25*12,IF(N25="W",M25*(Lookups!$B$9),IF(N25="B",M25*(+Lookups!$B$10),IF(N25="S",M25*2,IF(AND(M25=0,P25&gt;0),P25,"ERROR"))))))))</f>
        <v>0</v>
      </c>
      <c r="R25" s="15">
        <v>5</v>
      </c>
      <c r="S25" s="19" t="s">
        <v>41</v>
      </c>
      <c r="T25" s="12"/>
      <c r="U25" s="20">
        <f>IF(R25="",0,IF(T25&gt;0,0,IF(S25="A",R25,IF(S25="M",R25*12,IF(S25="W",R25*Lookups!B$9,IF(S25="B",R25*+Lookups!B$10,IF(S25="S",R25*2,IF(AND(R25=0,T25&gt;0),T25,"ERROR"))))))))</f>
        <v>260</v>
      </c>
      <c r="V25" s="130" t="str">
        <f>IF(OR(AND(Q25=0,H25=0),P25&gt;0),"",IF(AND(I25="W",N25="W"),ROUND(Q25-(H25*Lookups!$B$9),0),ROUND(+Q25-L25,0)))</f>
        <v/>
      </c>
      <c r="W25" s="75" t="str">
        <f t="shared" si="1"/>
        <v>E</v>
      </c>
      <c r="X25" s="123" t="str">
        <f t="shared" si="4"/>
        <v/>
      </c>
      <c r="Y25" s="123" t="str">
        <f t="shared" si="3"/>
        <v>Y</v>
      </c>
      <c r="Z25" s="121"/>
      <c r="AA25" s="52" t="s">
        <v>524</v>
      </c>
      <c r="AB25" s="53" t="s">
        <v>525</v>
      </c>
      <c r="AC25" s="53" t="s">
        <v>526</v>
      </c>
      <c r="AD25" s="54" t="s">
        <v>395</v>
      </c>
      <c r="AE25" s="55">
        <v>53144</v>
      </c>
    </row>
    <row r="26" spans="1:32" x14ac:dyDescent="0.35">
      <c r="B26" s="21" t="s">
        <v>240</v>
      </c>
      <c r="C26" s="4" t="s">
        <v>617</v>
      </c>
      <c r="D26" s="12"/>
      <c r="E26" s="15"/>
      <c r="F26" s="12">
        <v>10</v>
      </c>
      <c r="G26" s="20">
        <f t="shared" si="5"/>
        <v>10</v>
      </c>
      <c r="H26" s="15"/>
      <c r="I26" s="19"/>
      <c r="J26" s="12">
        <v>3</v>
      </c>
      <c r="K26" s="12"/>
      <c r="L26" s="20">
        <f>IF(I26="",0,IF(K26&gt;0,0,IF(I26="A",H26,IF(I26="M",H26*12,IF(I26="W",H26*(Lookups!$B$9+1),IF(I26="B",H26*(+Lookups!$B$10),IF(I26="S",H26*2,IF(AND(H26=0,K26&gt;0),K26,"ERROR"))))))))</f>
        <v>0</v>
      </c>
      <c r="M26" s="15"/>
      <c r="N26" s="19"/>
      <c r="O26" s="12">
        <v>14</v>
      </c>
      <c r="P26" s="12">
        <v>20</v>
      </c>
      <c r="Q26" s="20">
        <f>IF(N26="",0,IF(P26&gt;0,0,IF(N26="A",M26,IF(N26="M",M26*12,IF(N26="W",M26*(Lookups!$B$9),IF(N26="B",M26*(+Lookups!$B$10),IF(N26="S",M26*2,IF(AND(M26=0,P26&gt;0),P26,"ERROR"))))))))</f>
        <v>0</v>
      </c>
      <c r="R26" s="15"/>
      <c r="S26" s="19"/>
      <c r="T26" s="12"/>
      <c r="U26" s="20">
        <f>IF(R26="",0,IF(T26&gt;0,0,IF(S26="A",R26,IF(S26="M",R26*12,IF(S26="W",R26*Lookups!B$9,IF(S26="B",R26*+Lookups!B$10,IF(S26="S",R26*2,IF(AND(R26=0,T26&gt;0),T26,"ERROR"))))))))</f>
        <v>0</v>
      </c>
      <c r="V26" s="130" t="str">
        <f>IF(OR(AND(Q26=0,H26=0),P26&gt;0),"",IF(AND(I26="W",N26="W"),ROUND(Q26-(H26*Lookups!$B$9),0),ROUND(+Q26-L26,0)))</f>
        <v/>
      </c>
      <c r="W26" s="75" t="str">
        <f t="shared" si="1"/>
        <v>E</v>
      </c>
      <c r="X26" s="123" t="str">
        <f t="shared" si="4"/>
        <v/>
      </c>
      <c r="Y26" s="123" t="str">
        <f t="shared" si="3"/>
        <v>Y</v>
      </c>
      <c r="Z26" s="121"/>
    </row>
    <row r="27" spans="1:32" x14ac:dyDescent="0.35">
      <c r="B27" s="21" t="s">
        <v>64</v>
      </c>
      <c r="C27" s="4" t="s">
        <v>24</v>
      </c>
      <c r="D27" s="12">
        <v>650</v>
      </c>
      <c r="E27" s="15">
        <v>750</v>
      </c>
      <c r="F27" s="12">
        <v>150</v>
      </c>
      <c r="G27" s="20">
        <f t="shared" si="5"/>
        <v>150</v>
      </c>
      <c r="H27" s="15"/>
      <c r="I27" s="19" t="s">
        <v>42</v>
      </c>
      <c r="J27" s="12">
        <v>400</v>
      </c>
      <c r="K27" s="12">
        <v>0</v>
      </c>
      <c r="L27" s="20">
        <f>IF(I27="",0,IF(K27&gt;0,0,IF(I27="A",H27,IF(I27="M",H27*12,IF(I27="W",H27*(Lookups!$B$9+1),IF(I27="B",H27*(+Lookups!$B$10),IF(I27="S",H27*2,IF(AND(H27=0,K27&gt;0),K27,"ERROR"))))))))</f>
        <v>0</v>
      </c>
      <c r="M27" s="15"/>
      <c r="N27" s="19"/>
      <c r="O27" s="12">
        <v>400</v>
      </c>
      <c r="P27" s="12">
        <v>400</v>
      </c>
      <c r="Q27" s="20">
        <f>IF(N27="",0,IF(P27&gt;0,0,IF(N27="A",M27,IF(N27="M",M27*12,IF(N27="W",M27*(Lookups!$B$9),IF(N27="B",M27*(+Lookups!$B$10),IF(N27="S",M27*2,IF(AND(M27=0,P27&gt;0),P27,"ERROR"))))))))</f>
        <v>0</v>
      </c>
      <c r="R27" s="15"/>
      <c r="S27" s="19"/>
      <c r="T27" s="12">
        <v>500</v>
      </c>
      <c r="U27" s="20">
        <f>IF(R27="",0,IF(T27&gt;0,0,IF(S27="A",R27,IF(S27="M",R27*12,IF(S27="W",R27*Lookups!B$9,IF(S27="B",R27*+Lookups!B$10,IF(S27="S",R27*2,IF(AND(R27=0,T27&gt;0),T27,"ERROR"))))))))</f>
        <v>0</v>
      </c>
      <c r="V27" s="130" t="str">
        <f>IF(OR(AND(Q27=0,H27=0),P27&gt;0),"",IF(AND(I27="W",N27="W"),ROUND(Q27-(H27*Lookups!$B$9),0),ROUND(+Q27-L27,0)))</f>
        <v/>
      </c>
      <c r="W27" s="75" t="str">
        <f t="shared" si="1"/>
        <v>E</v>
      </c>
      <c r="X27" s="123" t="str">
        <f t="shared" si="4"/>
        <v/>
      </c>
      <c r="Y27" s="123" t="str">
        <f t="shared" si="3"/>
        <v>Y</v>
      </c>
      <c r="Z27" s="121"/>
    </row>
    <row r="28" spans="1:32" x14ac:dyDescent="0.35">
      <c r="B28" s="21" t="s">
        <v>27</v>
      </c>
      <c r="C28" s="4" t="s">
        <v>28</v>
      </c>
      <c r="D28" s="12">
        <v>3525</v>
      </c>
      <c r="E28" s="15">
        <v>4160</v>
      </c>
      <c r="F28" s="12">
        <v>2240</v>
      </c>
      <c r="G28" s="20">
        <f t="shared" si="5"/>
        <v>2240</v>
      </c>
      <c r="H28" s="15">
        <v>80</v>
      </c>
      <c r="I28" s="19" t="s">
        <v>41</v>
      </c>
      <c r="J28" s="12">
        <v>2320</v>
      </c>
      <c r="K28" s="12"/>
      <c r="L28" s="20">
        <f>IF(I28="",0,IF(K28&gt;0,0,IF(I28="A",H28,IF(I28="M",H28*12,IF(I28="W",H28*(Lookups!$B$9+1),IF(I28="B",H28*(+Lookups!$B$10),IF(I28="S",H28*2,IF(AND(H28=0,K28&gt;0),K28,"ERROR"))))))))</f>
        <v>4240</v>
      </c>
      <c r="M28" s="15">
        <v>80</v>
      </c>
      <c r="N28" s="19" t="s">
        <v>41</v>
      </c>
      <c r="O28" s="12">
        <v>2640</v>
      </c>
      <c r="P28" s="12"/>
      <c r="Q28" s="20">
        <f>IF(N28="",0,IF(P28&gt;0,0,IF(N28="A",M28,IF(N28="M",M28*12,IF(N28="W",M28*(Lookups!$B$9),IF(N28="B",M28*(+Lookups!$B$10),IF(N28="S",M28*2,IF(AND(M28=0,P28&gt;0),P28,"ERROR"))))))))</f>
        <v>4160</v>
      </c>
      <c r="R28" s="15">
        <v>80</v>
      </c>
      <c r="S28" s="19" t="s">
        <v>41</v>
      </c>
      <c r="T28" s="12"/>
      <c r="U28" s="20">
        <f>IF(R28="",0,IF(T28&gt;0,0,IF(S28="A",R28,IF(S28="M",R28*12,IF(S28="W",R28*Lookups!B$9,IF(S28="B",R28*+Lookups!B$10,IF(S28="S",R28*2,IF(AND(R28=0,T28&gt;0),T28,"ERROR"))))))))</f>
        <v>4160</v>
      </c>
      <c r="V28" s="130">
        <f>IF(OR(AND(Q28=0,H28=0),P28&gt;0),"",IF(AND(I28="W",N28="W"),ROUND(Q28-(H28*Lookups!$B$9),0),ROUND(+Q28-L28,0)))</f>
        <v>0</v>
      </c>
      <c r="W28" s="75" t="str">
        <f t="shared" si="1"/>
        <v>S</v>
      </c>
      <c r="X28" s="123" t="str">
        <f t="shared" si="4"/>
        <v>N</v>
      </c>
      <c r="Y28" s="123" t="str">
        <f t="shared" si="3"/>
        <v/>
      </c>
      <c r="Z28" s="121"/>
      <c r="AA28" s="52" t="s">
        <v>527</v>
      </c>
      <c r="AB28" s="53" t="s">
        <v>528</v>
      </c>
      <c r="AC28" s="53" t="s">
        <v>394</v>
      </c>
      <c r="AD28" s="54" t="s">
        <v>395</v>
      </c>
      <c r="AE28" s="55">
        <v>53406</v>
      </c>
    </row>
    <row r="29" spans="1:32" ht="14.5" customHeight="1" x14ac:dyDescent="0.35">
      <c r="A29" s="139" t="s">
        <v>638</v>
      </c>
      <c r="B29" s="21" t="s">
        <v>27</v>
      </c>
      <c r="C29" s="4" t="s">
        <v>359</v>
      </c>
      <c r="D29" s="12"/>
      <c r="E29" s="15"/>
      <c r="F29" s="12">
        <v>20</v>
      </c>
      <c r="G29" s="20">
        <f t="shared" si="5"/>
        <v>20</v>
      </c>
      <c r="H29" s="15"/>
      <c r="I29" s="19"/>
      <c r="J29" s="12"/>
      <c r="K29" s="12"/>
      <c r="L29" s="20">
        <f>IF(I29="",0,IF(K29&gt;0,0,IF(I29="A",H29,IF(I29="M",H29*12,IF(I29="W",H29*(Lookups!$B$9+1),IF(I29="B",H29*(+Lookups!$B$10),IF(I29="S",H29*2,IF(AND(H29=0,K29&gt;0),K29,"ERROR"))))))))</f>
        <v>0</v>
      </c>
      <c r="M29" s="15"/>
      <c r="N29" s="19"/>
      <c r="O29" s="12">
        <v>0</v>
      </c>
      <c r="P29" s="12"/>
      <c r="Q29" s="20">
        <f>IF(N29="",0,IF(P29&gt;0,0,IF(N29="A",M29,IF(N29="M",M29*12,IF(N29="W",M29*(Lookups!$B$9),IF(N29="B",M29*(+Lookups!$B$10),IF(N29="S",M29*2,IF(AND(M29=0,P29&gt;0),P29,"ERROR"))))))))</f>
        <v>0</v>
      </c>
      <c r="R29" s="15"/>
      <c r="S29" s="19"/>
      <c r="T29" s="12"/>
      <c r="U29" s="20">
        <f>IF(R29="",0,IF(T29&gt;0,0,IF(S29="A",R29,IF(S29="M",R29*12,IF(S29="W",R29*Lookups!B$9,IF(S29="B",R29*+Lookups!B$10,IF(S29="S",R29*2,IF(AND(R29=0,T29&gt;0),T29,"ERROR"))))))))</f>
        <v>0</v>
      </c>
      <c r="V29" s="130" t="str">
        <f>IF(OR(AND(Q29=0,H29=0),P29&gt;0),"",IF(AND(I29="W",N29="W"),ROUND(Q29-(H29*Lookups!$B$9),0),ROUND(+Q29-L29,0)))</f>
        <v/>
      </c>
      <c r="W29" s="75" t="str">
        <f t="shared" si="1"/>
        <v/>
      </c>
      <c r="X29" s="123" t="str">
        <f t="shared" si="4"/>
        <v/>
      </c>
      <c r="Y29" s="123" t="str">
        <f t="shared" si="3"/>
        <v/>
      </c>
      <c r="Z29" s="121"/>
    </row>
    <row r="30" spans="1:32" x14ac:dyDescent="0.35">
      <c r="B30" s="21" t="s">
        <v>65</v>
      </c>
      <c r="C30" s="4" t="s">
        <v>66</v>
      </c>
      <c r="D30" s="12">
        <v>1080</v>
      </c>
      <c r="E30" s="15">
        <v>1080</v>
      </c>
      <c r="F30" s="12">
        <v>810</v>
      </c>
      <c r="G30" s="20">
        <f t="shared" si="5"/>
        <v>1080</v>
      </c>
      <c r="H30" s="15">
        <v>90</v>
      </c>
      <c r="I30" s="19" t="s">
        <v>42</v>
      </c>
      <c r="J30" s="12">
        <v>810</v>
      </c>
      <c r="K30" s="12"/>
      <c r="L30" s="20">
        <f>IF(I30="",0,IF(K30&gt;0,0,IF(I30="A",H30,IF(I30="M",H30*12,IF(I30="W",H30*(Lookups!$B$9+1),IF(I30="B",H30*(+Lookups!$B$10),IF(I30="S",H30*2,IF(AND(H30=0,K30&gt;0),K30,"ERROR"))))))))</f>
        <v>1080</v>
      </c>
      <c r="M30" s="15">
        <v>100</v>
      </c>
      <c r="N30" s="19" t="s">
        <v>42</v>
      </c>
      <c r="O30" s="12">
        <v>800</v>
      </c>
      <c r="P30" s="12"/>
      <c r="Q30" s="20">
        <f>IF(N30="",0,IF(P30&gt;0,0,IF(N30="A",M30,IF(N30="M",M30*12,IF(N30="W",M30*(Lookups!$B$9),IF(N30="B",M30*(+Lookups!$B$10),IF(N30="S",M30*2,IF(AND(M30=0,P30&gt;0),P30,"ERROR"))))))))</f>
        <v>1200</v>
      </c>
      <c r="R30" s="15">
        <v>100</v>
      </c>
      <c r="S30" s="19" t="s">
        <v>42</v>
      </c>
      <c r="T30" s="12"/>
      <c r="U30" s="20">
        <f>IF(R30="",0,IF(T30&gt;0,0,IF(S30="A",R30,IF(S30="M",R30*12,IF(S30="W",R30*Lookups!B$9,IF(S30="B",R30*+Lookups!B$10,IF(S30="S",R30*2,IF(AND(R30=0,T30&gt;0),T30,"ERROR"))))))))</f>
        <v>1200</v>
      </c>
      <c r="V30" s="130">
        <f>IF(OR(AND(Q30=0,H30=0),P30&gt;0),"",IF(AND(I30="W",N30="W"),ROUND(Q30-(H30*Lookups!$B$9),0),ROUND(+Q30-L30,0)))</f>
        <v>120</v>
      </c>
      <c r="W30" s="75" t="str">
        <f t="shared" si="1"/>
        <v>I</v>
      </c>
      <c r="X30" s="123" t="str">
        <f t="shared" si="4"/>
        <v>N</v>
      </c>
      <c r="Y30" s="123" t="str">
        <f t="shared" si="3"/>
        <v/>
      </c>
      <c r="Z30" s="121"/>
      <c r="AA30" s="52" t="s">
        <v>416</v>
      </c>
      <c r="AB30" s="53" t="s">
        <v>417</v>
      </c>
      <c r="AC30" s="53" t="s">
        <v>418</v>
      </c>
      <c r="AD30" s="54" t="s">
        <v>395</v>
      </c>
      <c r="AE30" s="55">
        <v>53402</v>
      </c>
    </row>
    <row r="31" spans="1:32" x14ac:dyDescent="0.35">
      <c r="A31" s="139" t="s">
        <v>638</v>
      </c>
      <c r="B31" s="133" t="s">
        <v>30</v>
      </c>
      <c r="C31" s="70" t="s">
        <v>31</v>
      </c>
      <c r="D31" s="71">
        <v>750</v>
      </c>
      <c r="E31" s="72">
        <v>1200</v>
      </c>
      <c r="F31" s="71">
        <v>500</v>
      </c>
      <c r="G31" s="73">
        <f t="shared" si="5"/>
        <v>500</v>
      </c>
      <c r="H31" s="72">
        <v>100</v>
      </c>
      <c r="I31" s="74" t="s">
        <v>42</v>
      </c>
      <c r="J31" s="71"/>
      <c r="K31" s="71"/>
      <c r="L31" s="20">
        <f>IF(I31="",0,IF(K31&gt;0,0,IF(I31="A",H31,IF(I31="M",H31*12,IF(I31="W",H31*(Lookups!$B$9+1),IF(I31="B",H31*(+Lookups!$B$10),IF(I31="S",H31*2,IF(AND(H31=0,K31&gt;0),K31,"ERROR"))))))))</f>
        <v>1200</v>
      </c>
      <c r="M31" s="72"/>
      <c r="N31" s="74"/>
      <c r="O31" s="71">
        <v>0</v>
      </c>
      <c r="P31" s="71"/>
      <c r="Q31" s="20">
        <f>IF(N31="",0,IF(P31&gt;0,0,IF(N31="A",M31,IF(N31="M",M31*12,IF(N31="W",M31*(Lookups!$B$9),IF(N31="B",M31*(+Lookups!$B$10),IF(N31="S",M31*2,IF(AND(M31=0,P31&gt;0),P31,"ERROR"))))))))</f>
        <v>0</v>
      </c>
      <c r="R31" s="72"/>
      <c r="S31" s="74"/>
      <c r="T31" s="71"/>
      <c r="U31" s="20">
        <f>IF(R31="",0,IF(T31&gt;0,0,IF(S31="A",R31,IF(S31="M",R31*12,IF(S31="W",R31*Lookups!B$9,IF(S31="B",R31*+Lookups!B$10,IF(S31="S",R31*2,IF(AND(R31=0,T31&gt;0),T31,"ERROR"))))))))</f>
        <v>0</v>
      </c>
      <c r="V31" s="130">
        <f>IF(OR(AND(Q31=0,H31=0),P31&gt;0),"",IF(AND(I31="W",N31="W"),ROUND(Q31-(H31*Lookups!$B$9),0),ROUND(+Q31-L31,0)))</f>
        <v>-1200</v>
      </c>
      <c r="W31" s="174" t="s">
        <v>631</v>
      </c>
      <c r="X31" s="123" t="str">
        <f t="shared" si="4"/>
        <v/>
      </c>
      <c r="Y31" s="123" t="str">
        <f t="shared" si="3"/>
        <v/>
      </c>
      <c r="Z31" s="123"/>
      <c r="AA31" s="76"/>
      <c r="AB31" s="76"/>
      <c r="AC31" s="76"/>
      <c r="AD31" s="77"/>
      <c r="AE31" s="78"/>
      <c r="AF31" s="53"/>
    </row>
    <row r="32" spans="1:32" x14ac:dyDescent="0.35">
      <c r="B32" s="21" t="s">
        <v>32</v>
      </c>
      <c r="C32" s="4" t="s">
        <v>33</v>
      </c>
      <c r="D32" s="12">
        <v>600</v>
      </c>
      <c r="E32" s="15">
        <v>600</v>
      </c>
      <c r="F32" s="12">
        <v>650</v>
      </c>
      <c r="G32" s="20">
        <f t="shared" si="5"/>
        <v>650</v>
      </c>
      <c r="H32" s="15">
        <v>50</v>
      </c>
      <c r="I32" s="19" t="s">
        <v>42</v>
      </c>
      <c r="J32" s="12">
        <v>450</v>
      </c>
      <c r="K32" s="12"/>
      <c r="L32" s="20">
        <f>IF(I32="",0,IF(K32&gt;0,0,IF(I32="A",H32,IF(I32="M",H32*12,IF(I32="W",H32*(Lookups!$B$9+1),IF(I32="B",H32*(+Lookups!$B$10),IF(I32="S",H32*2,IF(AND(H32=0,K32&gt;0),K32,"ERROR"))))))))</f>
        <v>600</v>
      </c>
      <c r="M32" s="15">
        <v>50</v>
      </c>
      <c r="N32" s="19" t="s">
        <v>42</v>
      </c>
      <c r="O32" s="12">
        <v>400</v>
      </c>
      <c r="P32" s="12"/>
      <c r="Q32" s="20">
        <f>IF(N32="",0,IF(P32&gt;0,0,IF(N32="A",M32,IF(N32="M",M32*12,IF(N32="W",M32*(Lookups!$B$9),IF(N32="B",M32*(+Lookups!$B$10),IF(N32="S",M32*2,IF(AND(M32=0,P32&gt;0),P32,"ERROR"))))))))</f>
        <v>600</v>
      </c>
      <c r="R32" s="15">
        <v>50</v>
      </c>
      <c r="S32" s="19" t="s">
        <v>42</v>
      </c>
      <c r="T32" s="12"/>
      <c r="U32" s="20">
        <f>IF(R32="",0,IF(T32&gt;0,0,IF(S32="A",R32,IF(S32="M",R32*12,IF(S32="W",R32*Lookups!B$9,IF(S32="B",R32*+Lookups!B$10,IF(S32="S",R32*2,IF(AND(R32=0,T32&gt;0),T32,"ERROR"))))))))</f>
        <v>600</v>
      </c>
      <c r="V32" s="130">
        <f>IF(OR(AND(Q32=0,H32=0),P32&gt;0),"",IF(AND(I32="W",N32="W"),ROUND(Q32-(H32*Lookups!$B$9),0),ROUND(+Q32-L32,0)))</f>
        <v>0</v>
      </c>
      <c r="W32" s="75" t="str">
        <f t="shared" si="1"/>
        <v>S</v>
      </c>
      <c r="X32" s="123" t="str">
        <f t="shared" si="4"/>
        <v>N</v>
      </c>
      <c r="Y32" s="123" t="str">
        <f t="shared" si="3"/>
        <v/>
      </c>
      <c r="Z32" s="121"/>
      <c r="AA32" s="52" t="s">
        <v>419</v>
      </c>
      <c r="AB32" s="53" t="s">
        <v>529</v>
      </c>
      <c r="AC32" s="53" t="s">
        <v>420</v>
      </c>
      <c r="AD32" s="54" t="s">
        <v>395</v>
      </c>
      <c r="AE32" s="55">
        <v>53182</v>
      </c>
    </row>
    <row r="33" spans="1:31" x14ac:dyDescent="0.35">
      <c r="B33" s="21" t="s">
        <v>32</v>
      </c>
      <c r="C33" s="4" t="s">
        <v>34</v>
      </c>
      <c r="D33" s="12">
        <v>300</v>
      </c>
      <c r="E33" s="15">
        <v>300</v>
      </c>
      <c r="F33" s="12">
        <v>250</v>
      </c>
      <c r="G33" s="20">
        <f t="shared" si="5"/>
        <v>300</v>
      </c>
      <c r="H33" s="15">
        <v>25</v>
      </c>
      <c r="I33" s="19" t="s">
        <v>42</v>
      </c>
      <c r="J33" s="12">
        <v>225</v>
      </c>
      <c r="K33" s="12"/>
      <c r="L33" s="20">
        <f>IF(I33="",0,IF(K33&gt;0,0,IF(I33="A",H33,IF(I33="M",H33*12,IF(I33="W",H33*(Lookups!$B$9+1),IF(I33="B",H33*(+Lookups!$B$10),IF(I33="S",H33*2,IF(AND(H33=0,K33&gt;0),K33,"ERROR"))))))))</f>
        <v>300</v>
      </c>
      <c r="M33" s="15">
        <v>25</v>
      </c>
      <c r="N33" s="19" t="s">
        <v>42</v>
      </c>
      <c r="O33" s="12">
        <v>200</v>
      </c>
      <c r="P33" s="12"/>
      <c r="Q33" s="20">
        <f>IF(N33="",0,IF(P33&gt;0,0,IF(N33="A",M33,IF(N33="M",M33*12,IF(N33="W",M33*(Lookups!$B$9),IF(N33="B",M33*(+Lookups!$B$10),IF(N33="S",M33*2,IF(AND(M33=0,P33&gt;0),P33,"ERROR"))))))))</f>
        <v>300</v>
      </c>
      <c r="R33" s="15">
        <v>25</v>
      </c>
      <c r="S33" s="19" t="s">
        <v>42</v>
      </c>
      <c r="T33" s="12"/>
      <c r="U33" s="20">
        <f>IF(R33="",0,IF(T33&gt;0,0,IF(S33="A",R33,IF(S33="M",R33*12,IF(S33="W",R33*Lookups!B$9,IF(S33="B",R33*+Lookups!B$10,IF(S33="S",R33*2,IF(AND(R33=0,T33&gt;0),T33,"ERROR"))))))))</f>
        <v>300</v>
      </c>
      <c r="V33" s="130">
        <f>IF(OR(AND(Q33=0,H33=0),P33&gt;0),"",IF(AND(I33="W",N33="W"),ROUND(Q33-(H33*Lookups!$B$9),0),ROUND(+Q33-L33,0)))</f>
        <v>0</v>
      </c>
      <c r="W33" s="75" t="str">
        <f t="shared" si="1"/>
        <v>S</v>
      </c>
      <c r="X33" s="123" t="str">
        <f t="shared" si="4"/>
        <v>N</v>
      </c>
      <c r="Y33" s="123" t="str">
        <f t="shared" si="3"/>
        <v/>
      </c>
      <c r="Z33" s="121"/>
      <c r="AB33" s="53" t="s">
        <v>530</v>
      </c>
      <c r="AC33" s="53" t="s">
        <v>526</v>
      </c>
      <c r="AD33" s="54" t="s">
        <v>395</v>
      </c>
      <c r="AE33" s="55">
        <v>53144</v>
      </c>
    </row>
    <row r="34" spans="1:31" x14ac:dyDescent="0.35">
      <c r="B34" s="21" t="s">
        <v>509</v>
      </c>
      <c r="C34" s="4" t="s">
        <v>510</v>
      </c>
      <c r="D34" s="12"/>
      <c r="E34" s="15"/>
      <c r="F34" s="12"/>
      <c r="G34" s="20">
        <f t="shared" si="5"/>
        <v>0</v>
      </c>
      <c r="H34" s="15">
        <v>200</v>
      </c>
      <c r="I34" s="19" t="s">
        <v>42</v>
      </c>
      <c r="J34" s="12">
        <v>1800</v>
      </c>
      <c r="K34" s="12"/>
      <c r="L34" s="20">
        <f>IF(I34="",0,IF(K34&gt;0,0,IF(I34="A",H34,IF(I34="M",H34*12,IF(I34="W",H34*(Lookups!$B$9+1),IF(I34="B",H34*(+Lookups!$B$10),IF(I34="S",H34*2,IF(AND(H34=0,K34&gt;0),K34,"ERROR"))))))))</f>
        <v>2400</v>
      </c>
      <c r="M34" s="15">
        <v>200</v>
      </c>
      <c r="N34" s="19" t="s">
        <v>42</v>
      </c>
      <c r="O34" s="12">
        <v>1600</v>
      </c>
      <c r="P34" s="12"/>
      <c r="Q34" s="20">
        <f>IF(N34="",0,IF(P34&gt;0,0,IF(N34="A",M34,IF(N34="M",M34*12,IF(N34="W",M34*(Lookups!$B$9),IF(N34="B",M34*(+Lookups!$B$10),IF(N34="S",M34*2,IF(AND(M34=0,P34&gt;0),P34,"ERROR"))))))))</f>
        <v>2400</v>
      </c>
      <c r="R34" s="15">
        <v>200</v>
      </c>
      <c r="S34" s="19" t="s">
        <v>42</v>
      </c>
      <c r="T34" s="12"/>
      <c r="U34" s="20">
        <f>IF(R34="",0,IF(T34&gt;0,0,IF(S34="A",R34,IF(S34="M",R34*12,IF(S34="W",R34*Lookups!B$9,IF(S34="B",R34*+Lookups!B$10,IF(S34="S",R34*2,IF(AND(R34=0,T34&gt;0),T34,"ERROR"))))))))</f>
        <v>2400</v>
      </c>
      <c r="V34" s="130">
        <f>IF(OR(AND(Q34=0,H34=0),P34&gt;0),"",IF(AND(I34="W",N34="W"),ROUND(Q34-(H34*Lookups!$B$9),0),ROUND(+Q34-L34,0)))</f>
        <v>0</v>
      </c>
      <c r="W34" s="75" t="str">
        <f t="shared" si="1"/>
        <v>S</v>
      </c>
      <c r="X34" s="123" t="str">
        <f t="shared" si="4"/>
        <v>N</v>
      </c>
      <c r="Y34" s="123" t="str">
        <f t="shared" si="3"/>
        <v/>
      </c>
      <c r="Z34" s="121"/>
      <c r="AA34" s="52" t="s">
        <v>531</v>
      </c>
      <c r="AB34" s="53" t="s">
        <v>532</v>
      </c>
      <c r="AC34" s="53" t="s">
        <v>533</v>
      </c>
      <c r="AD34" s="54" t="s">
        <v>395</v>
      </c>
      <c r="AE34" s="55">
        <v>53402</v>
      </c>
    </row>
    <row r="35" spans="1:31" x14ac:dyDescent="0.35">
      <c r="A35" s="139" t="s">
        <v>638</v>
      </c>
      <c r="B35" s="134" t="s">
        <v>35</v>
      </c>
      <c r="C35" s="4" t="s">
        <v>36</v>
      </c>
      <c r="D35" s="12">
        <v>0</v>
      </c>
      <c r="E35" s="15">
        <v>500</v>
      </c>
      <c r="F35" s="12"/>
      <c r="G35" s="107">
        <v>500</v>
      </c>
      <c r="H35" s="15">
        <v>500</v>
      </c>
      <c r="I35" s="19" t="s">
        <v>38</v>
      </c>
      <c r="J35" s="12"/>
      <c r="K35" s="12"/>
      <c r="L35" s="20">
        <f>IF(I35="",0,IF(K35&gt;0,0,IF(I35="A",H35,IF(I35="M",H35*12,IF(I35="W",H35*(Lookups!$B$9+1),IF(I35="B",H35*(+Lookups!$B$10),IF(I35="S",H35*2,IF(AND(H35=0,K35&gt;0),K35,"ERROR"))))))))</f>
        <v>500</v>
      </c>
      <c r="M35" s="15"/>
      <c r="N35" s="19"/>
      <c r="O35" s="12">
        <v>0</v>
      </c>
      <c r="P35" s="12"/>
      <c r="Q35" s="20">
        <f>IF(N35="",0,IF(P35&gt;0,0,IF(N35="A",M35,IF(N35="M",M35*12,IF(N35="W",M35*(Lookups!$B$9),IF(N35="B",M35*(+Lookups!$B$10),IF(N35="S",M35*2,IF(AND(M35=0,P35&gt;0),P35,"ERROR"))))))))</f>
        <v>0</v>
      </c>
      <c r="R35" s="15"/>
      <c r="S35" s="19"/>
      <c r="T35" s="12"/>
      <c r="U35" s="20">
        <f>IF(R35="",0,IF(T35&gt;0,0,IF(S35="A",R35,IF(S35="M",R35*12,IF(S35="W",R35*Lookups!B$9,IF(S35="B",R35*+Lookups!B$10,IF(S35="S",R35*2,IF(AND(R35=0,T35&gt;0),T35,"ERROR"))))))))</f>
        <v>0</v>
      </c>
      <c r="V35" s="130">
        <f>IF(OR(AND(Q35=0,H35=0),P35&gt;0),"",IF(AND(I35="W",N35="W"),ROUND(Q35-(H35*Lookups!$B$9),0),ROUND(+Q35-L35,0)))</f>
        <v>-500</v>
      </c>
      <c r="W35" s="174" t="s">
        <v>631</v>
      </c>
      <c r="X35" s="123" t="str">
        <f t="shared" si="4"/>
        <v/>
      </c>
      <c r="Y35" s="123" t="str">
        <f t="shared" si="3"/>
        <v/>
      </c>
      <c r="Z35" s="121"/>
    </row>
    <row r="36" spans="1:31" x14ac:dyDescent="0.35">
      <c r="A36" s="139" t="s">
        <v>638</v>
      </c>
      <c r="B36" s="21" t="s">
        <v>360</v>
      </c>
      <c r="C36" s="4" t="s">
        <v>361</v>
      </c>
      <c r="D36" s="12"/>
      <c r="E36" s="15"/>
      <c r="F36" s="12">
        <v>20</v>
      </c>
      <c r="G36" s="20">
        <f t="shared" ref="G36:G67" si="6">IF(E36=0,F36,IF(AND(F36=0,J36="A"),E36,IF(F36&gt;E36,F36, IF(F36/E36&gt;0.73,E36,F36))))</f>
        <v>20</v>
      </c>
      <c r="H36" s="15"/>
      <c r="I36" s="19"/>
      <c r="J36" s="12"/>
      <c r="K36" s="12"/>
      <c r="L36" s="20">
        <f>IF(I36="",0,IF(K36&gt;0,0,IF(I36="A",H36,IF(I36="M",H36*12,IF(I36="W",H36*(Lookups!$B$9+1),IF(I36="B",H36*(+Lookups!$B$10),IF(I36="S",H36*2,IF(AND(H36=0,K36&gt;0),K36,"ERROR"))))))))</f>
        <v>0</v>
      </c>
      <c r="M36" s="15"/>
      <c r="N36" s="19"/>
      <c r="O36" s="12">
        <v>0</v>
      </c>
      <c r="P36" s="12"/>
      <c r="Q36" s="20">
        <f>IF(N36="",0,IF(P36&gt;0,0,IF(N36="A",M36,IF(N36="M",M36*12,IF(N36="W",M36*(Lookups!$B$9),IF(N36="B",M36*(+Lookups!$B$10),IF(N36="S",M36*2,IF(AND(M36=0,P36&gt;0),P36,"ERROR"))))))))</f>
        <v>0</v>
      </c>
      <c r="R36" s="15"/>
      <c r="S36" s="19"/>
      <c r="T36" s="12"/>
      <c r="U36" s="20">
        <f>IF(R36="",0,IF(T36&gt;0,0,IF(S36="A",R36,IF(S36="M",R36*12,IF(S36="W",R36*Lookups!B$9,IF(S36="B",R36*+Lookups!B$10,IF(S36="S",R36*2,IF(AND(R36=0,T36&gt;0),T36,"ERROR"))))))))</f>
        <v>0</v>
      </c>
      <c r="V36" s="130" t="str">
        <f>IF(OR(AND(Q36=0,H36=0),P36&gt;0),"",IF(AND(I36="W",N36="W"),ROUND(Q36-(H36*Lookups!$B$9),0),ROUND(+Q36-L36,0)))</f>
        <v/>
      </c>
      <c r="W36" s="75" t="str">
        <f t="shared" si="1"/>
        <v/>
      </c>
      <c r="X36" s="123" t="str">
        <f t="shared" si="4"/>
        <v/>
      </c>
      <c r="Y36" s="123" t="str">
        <f t="shared" si="3"/>
        <v/>
      </c>
      <c r="Z36" s="121"/>
    </row>
    <row r="37" spans="1:31" x14ac:dyDescent="0.35">
      <c r="B37" s="134" t="s">
        <v>242</v>
      </c>
      <c r="C37" s="4" t="s">
        <v>641</v>
      </c>
      <c r="D37" s="12">
        <v>1380</v>
      </c>
      <c r="E37" s="15"/>
      <c r="F37" s="12">
        <v>1035</v>
      </c>
      <c r="G37" s="20">
        <f t="shared" si="6"/>
        <v>1035</v>
      </c>
      <c r="H37" s="15">
        <v>120</v>
      </c>
      <c r="I37" s="19" t="s">
        <v>42</v>
      </c>
      <c r="J37" s="12">
        <v>1080</v>
      </c>
      <c r="K37" s="12"/>
      <c r="L37" s="20">
        <f>IF(I37="",0,IF(K37&gt;0,0,IF(I37="A",H37,IF(I37="M",H37*12,IF(I37="W",H37*(Lookups!$B$9+1),IF(I37="B",H37*(+Lookups!$B$10),IF(I37="S",H37*2,IF(AND(H37=0,K37&gt;0),K37,"ERROR"))))))))</f>
        <v>1440</v>
      </c>
      <c r="M37" s="15">
        <v>120</v>
      </c>
      <c r="N37" s="19" t="s">
        <v>42</v>
      </c>
      <c r="O37" s="12">
        <v>1000</v>
      </c>
      <c r="P37" s="12"/>
      <c r="Q37" s="20">
        <f>IF(N37="",0,IF(P37&gt;0,0,IF(N37="A",M37,IF(N37="M",M37*12,IF(N37="W",M37*(Lookups!$B$9),IF(N37="B",M37*(+Lookups!$B$10),IF(N37="S",M37*2,IF(AND(M37=0,P37&gt;0),P37,"ERROR"))))))))</f>
        <v>1440</v>
      </c>
      <c r="R37" s="15"/>
      <c r="S37" s="19"/>
      <c r="T37" s="12">
        <f>120*12</f>
        <v>1440</v>
      </c>
      <c r="U37" s="20">
        <f>IF(R37="",0,IF(T37&gt;0,0,IF(S37="A",R37,IF(S37="M",R37*12,IF(S37="W",R37*Lookups!B$9,IF(S37="B",R37*+Lookups!B$10,IF(S37="S",R37*2,IF(AND(R37=0,T37&gt;0),T37,"ERROR"))))))))</f>
        <v>0</v>
      </c>
      <c r="V37" s="130">
        <f>IF(OR(AND(Q37=0,H37=0),P37&gt;0),"",IF(AND(I37="W",N37="W"),ROUND(Q37-(H37*Lookups!$B$9),0),ROUND(+Q37-L37,0)))</f>
        <v>0</v>
      </c>
      <c r="W37" s="75" t="str">
        <f t="shared" si="1"/>
        <v>S</v>
      </c>
      <c r="X37" s="123" t="str">
        <f t="shared" si="4"/>
        <v>N</v>
      </c>
      <c r="Y37" s="123" t="str">
        <f t="shared" si="3"/>
        <v/>
      </c>
      <c r="Z37" s="121"/>
      <c r="AA37" s="52" t="s">
        <v>421</v>
      </c>
      <c r="AB37" s="53" t="s">
        <v>422</v>
      </c>
      <c r="AC37" s="53" t="s">
        <v>418</v>
      </c>
      <c r="AD37" s="54" t="s">
        <v>395</v>
      </c>
      <c r="AE37" s="55">
        <v>53403</v>
      </c>
    </row>
    <row r="38" spans="1:31" x14ac:dyDescent="0.35">
      <c r="B38" s="21" t="s">
        <v>37</v>
      </c>
      <c r="C38" s="4" t="s">
        <v>518</v>
      </c>
      <c r="D38" s="12">
        <v>2640</v>
      </c>
      <c r="E38" s="15">
        <v>2700</v>
      </c>
      <c r="F38" s="12">
        <v>2025</v>
      </c>
      <c r="G38" s="20">
        <f t="shared" si="6"/>
        <v>2700</v>
      </c>
      <c r="H38" s="15">
        <v>225</v>
      </c>
      <c r="I38" s="19" t="s">
        <v>42</v>
      </c>
      <c r="J38" s="12">
        <v>1980</v>
      </c>
      <c r="K38" s="12"/>
      <c r="L38" s="20">
        <f>IF(I38="",0,IF(K38&gt;0,0,IF(I38="A",H38,IF(I38="M",H38*12,IF(I38="W",H38*(Lookups!$B$9+1),IF(I38="B",H38*(+Lookups!$B$10),IF(I38="S",H38*2,IF(AND(H38=0,K38&gt;0),K38,"ERROR"))))))))</f>
        <v>2700</v>
      </c>
      <c r="M38" s="15">
        <v>200</v>
      </c>
      <c r="N38" s="19" t="s">
        <v>42</v>
      </c>
      <c r="O38" s="12">
        <v>1600</v>
      </c>
      <c r="P38" s="12"/>
      <c r="Q38" s="20">
        <f>IF(N38="",0,IF(P38&gt;0,0,IF(N38="A",M38,IF(N38="M",M38*12,IF(N38="W",M38*(Lookups!$B$9),IF(N38="B",M38*(+Lookups!$B$10),IF(N38="S",M38*2,IF(AND(M38=0,P38&gt;0),P38,"ERROR"))))))))</f>
        <v>2400</v>
      </c>
      <c r="R38" s="15">
        <v>200</v>
      </c>
      <c r="S38" s="19" t="s">
        <v>42</v>
      </c>
      <c r="T38" s="12"/>
      <c r="U38" s="20">
        <f>IF(R38="",0,IF(T38&gt;0,0,IF(S38="A",R38,IF(S38="M",R38*12,IF(S38="W",R38*Lookups!B$9,IF(S38="B",R38*+Lookups!B$10,IF(S38="S",R38*2,IF(AND(R38=0,T38&gt;0),T38,"ERROR"))))))))</f>
        <v>2400</v>
      </c>
      <c r="V38" s="130">
        <f>IF(OR(AND(Q38=0,H38=0),P38&gt;0),"",IF(AND(I38="W",N38="W"),ROUND(Q38-(H38*Lookups!$B$9),0),ROUND(+Q38-L38,0)))</f>
        <v>-300</v>
      </c>
      <c r="W38" s="75" t="str">
        <f t="shared" si="1"/>
        <v>D</v>
      </c>
      <c r="X38" s="123" t="str">
        <f t="shared" si="4"/>
        <v>N</v>
      </c>
      <c r="Y38" s="123" t="str">
        <f t="shared" si="3"/>
        <v/>
      </c>
      <c r="Z38" s="121"/>
      <c r="AA38" s="52" t="s">
        <v>534</v>
      </c>
      <c r="AB38" s="53" t="s">
        <v>535</v>
      </c>
      <c r="AC38" s="53" t="s">
        <v>394</v>
      </c>
      <c r="AD38" s="54" t="s">
        <v>395</v>
      </c>
      <c r="AE38" s="55">
        <v>53403</v>
      </c>
    </row>
    <row r="39" spans="1:31" x14ac:dyDescent="0.35">
      <c r="B39" s="21" t="s">
        <v>243</v>
      </c>
      <c r="C39" s="4" t="s">
        <v>40</v>
      </c>
      <c r="D39" s="12">
        <v>3140</v>
      </c>
      <c r="E39" s="15">
        <v>3120</v>
      </c>
      <c r="F39" s="12">
        <v>2340</v>
      </c>
      <c r="G39" s="20">
        <f t="shared" si="6"/>
        <v>3120</v>
      </c>
      <c r="H39" s="15">
        <v>37.735849056603776</v>
      </c>
      <c r="I39" s="19" t="s">
        <v>41</v>
      </c>
      <c r="J39" s="12">
        <v>2000</v>
      </c>
      <c r="K39" s="12">
        <v>3120</v>
      </c>
      <c r="L39" s="20">
        <f>IF(I39="",0,IF(K39&gt;0,0,IF(I39="A",H39,IF(I39="M",H39*12,IF(I39="W",H39*(Lookups!$B$9+1),IF(I39="B",H39*(+Lookups!$B$10),IF(I39="S",H39*2,IF(AND(H39=0,K39&gt;0),K39,"ERROR"))))))))</f>
        <v>0</v>
      </c>
      <c r="M39" s="15">
        <v>55</v>
      </c>
      <c r="N39" s="19" t="s">
        <v>41</v>
      </c>
      <c r="O39" s="12">
        <v>1615</v>
      </c>
      <c r="P39" s="12"/>
      <c r="Q39" s="20">
        <f>IF(N39="",0,IF(P39&gt;0,0,IF(N39="A",M39,IF(N39="M",M39*12,IF(N39="W",M39*(Lookups!$B$9),IF(N39="B",M39*(+Lookups!$B$10),IF(N39="S",M39*2,IF(AND(M39=0,P39&gt;0),P39,"ERROR"))))))))</f>
        <v>2860</v>
      </c>
      <c r="R39" s="15">
        <v>55</v>
      </c>
      <c r="S39" s="19" t="s">
        <v>41</v>
      </c>
      <c r="T39" s="12"/>
      <c r="U39" s="20">
        <f>IF(R39="",0,IF(T39&gt;0,0,IF(S39="A",R39,IF(S39="M",R39*12,IF(S39="W",R39*Lookups!B$9,IF(S39="B",R39*+Lookups!B$10,IF(S39="S",R39*2,IF(AND(R39=0,T39&gt;0),T39,"ERROR"))))))))</f>
        <v>2860</v>
      </c>
      <c r="V39" s="130">
        <f>IF(OR(AND(Q39=0,H39=0),P39&gt;0),"",IF(AND(I39="W",N39="W"),ROUND(Q39-(H39*Lookups!$B$9),0),ROUND(+Q39-L39,0)))</f>
        <v>898</v>
      </c>
      <c r="W39" s="75" t="str">
        <f t="shared" si="1"/>
        <v>I</v>
      </c>
      <c r="X39" s="123" t="str">
        <f t="shared" si="4"/>
        <v>N</v>
      </c>
      <c r="Y39" s="123" t="str">
        <f t="shared" si="3"/>
        <v/>
      </c>
      <c r="Z39" s="121"/>
      <c r="AA39" s="52" t="s">
        <v>536</v>
      </c>
      <c r="AB39" s="53" t="s">
        <v>537</v>
      </c>
      <c r="AC39" s="53" t="s">
        <v>394</v>
      </c>
      <c r="AD39" s="54" t="s">
        <v>395</v>
      </c>
      <c r="AE39" s="55">
        <v>53406</v>
      </c>
    </row>
    <row r="40" spans="1:31" x14ac:dyDescent="0.35">
      <c r="B40" s="21" t="s">
        <v>244</v>
      </c>
      <c r="C40" s="4" t="s">
        <v>245</v>
      </c>
      <c r="D40" s="12">
        <v>200</v>
      </c>
      <c r="E40" s="15"/>
      <c r="F40" s="12"/>
      <c r="G40" s="20">
        <f t="shared" si="6"/>
        <v>0</v>
      </c>
      <c r="H40" s="15"/>
      <c r="I40" s="19"/>
      <c r="J40" s="12"/>
      <c r="K40" s="12"/>
      <c r="L40" s="20">
        <f>IF(I40="",0,IF(K40&gt;0,0,IF(I40="A",H40,IF(I40="M",H40*12,IF(I40="W",H40*(Lookups!$B$9+1),IF(I40="B",H40*(+Lookups!$B$10),IF(I40="S",H40*2,IF(AND(H40=0,K40&gt;0),K40,"ERROR"))))))))</f>
        <v>0</v>
      </c>
      <c r="M40" s="15"/>
      <c r="N40" s="19"/>
      <c r="O40" s="12">
        <v>170</v>
      </c>
      <c r="P40" s="12">
        <v>200</v>
      </c>
      <c r="Q40" s="20">
        <f>IF(N40="",0,IF(P40&gt;0,0,IF(N40="A",M40,IF(N40="M",M40*12,IF(N40="W",M40*(Lookups!$B$9),IF(N40="B",M40*(+Lookups!$B$10),IF(N40="S",M40*2,IF(AND(M40=0,P40&gt;0),P40,"ERROR"))))))))</f>
        <v>0</v>
      </c>
      <c r="R40" s="15"/>
      <c r="S40" s="19"/>
      <c r="T40" s="12"/>
      <c r="U40" s="20">
        <f>IF(R40="",0,IF(T40&gt;0,0,IF(S40="A",R40,IF(S40="M",R40*12,IF(S40="W",R40*Lookups!B$9,IF(S40="B",R40*+Lookups!B$10,IF(S40="S",R40*2,IF(AND(R40=0,T40&gt;0),T40,"ERROR"))))))))</f>
        <v>0</v>
      </c>
      <c r="V40" s="130" t="str">
        <f>IF(OR(AND(Q40=0,H40=0),P40&gt;0),"",IF(AND(I40="W",N40="W"),ROUND(Q40-(H40*Lookups!$B$9),0),ROUND(+Q40-L40,0)))</f>
        <v/>
      </c>
      <c r="W40" s="75" t="str">
        <f t="shared" si="1"/>
        <v>E</v>
      </c>
      <c r="X40" s="123" t="str">
        <f t="shared" si="4"/>
        <v/>
      </c>
      <c r="Y40" s="123" t="str">
        <f t="shared" si="3"/>
        <v>Y</v>
      </c>
      <c r="Z40" s="121"/>
    </row>
    <row r="41" spans="1:31" x14ac:dyDescent="0.35">
      <c r="B41" s="21" t="s">
        <v>246</v>
      </c>
      <c r="C41" s="4" t="s">
        <v>247</v>
      </c>
      <c r="D41" s="12">
        <v>600</v>
      </c>
      <c r="E41" s="15"/>
      <c r="F41" s="12">
        <v>450</v>
      </c>
      <c r="G41" s="20">
        <f t="shared" si="6"/>
        <v>450</v>
      </c>
      <c r="H41" s="15"/>
      <c r="I41" s="19"/>
      <c r="J41" s="12">
        <v>450</v>
      </c>
      <c r="K41" s="12">
        <v>600</v>
      </c>
      <c r="L41" s="20">
        <f>IF(I41="",0,IF(K41&gt;0,0,IF(I41="A",H41,IF(I41="M",H41*12,IF(I41="W",H41*(Lookups!$B$9+1),IF(I41="B",H41*(+Lookups!$B$10),IF(I41="S",H41*2,IF(AND(H41=0,K41&gt;0),K41,"ERROR"))))))))</f>
        <v>0</v>
      </c>
      <c r="M41" s="15"/>
      <c r="N41" s="19"/>
      <c r="O41" s="12">
        <v>400</v>
      </c>
      <c r="P41" s="12">
        <v>600</v>
      </c>
      <c r="Q41" s="20">
        <f>IF(N41="",0,IF(P41&gt;0,0,IF(N41="A",M41,IF(N41="M",M41*12,IF(N41="W",M41*(Lookups!$B$9),IF(N41="B",M41*(+Lookups!$B$10),IF(N41="S",M41*2,IF(AND(M41=0,P41&gt;0),P41,"ERROR"))))))))</f>
        <v>0</v>
      </c>
      <c r="R41" s="15"/>
      <c r="S41" s="19"/>
      <c r="T41" s="12">
        <f>50*12</f>
        <v>600</v>
      </c>
      <c r="U41" s="20">
        <f>IF(R41="",0,IF(T41&gt;0,0,IF(S41="A",R41,IF(S41="M",R41*12,IF(S41="W",R41*Lookups!B$9,IF(S41="B",R41*+Lookups!B$10,IF(S41="S",R41*2,IF(AND(R41=0,T41&gt;0),T41,"ERROR"))))))))</f>
        <v>0</v>
      </c>
      <c r="V41" s="130" t="str">
        <f>IF(OR(AND(Q41=0,H41=0),P41&gt;0),"",IF(AND(I41="W",N41="W"),ROUND(Q41-(H41*Lookups!$B$9),0),ROUND(+Q41-L41,0)))</f>
        <v/>
      </c>
      <c r="W41" s="75" t="str">
        <f t="shared" si="1"/>
        <v>E</v>
      </c>
      <c r="X41" s="123" t="str">
        <f t="shared" si="4"/>
        <v/>
      </c>
      <c r="Y41" s="123" t="str">
        <f t="shared" si="3"/>
        <v>Y</v>
      </c>
      <c r="Z41" s="121"/>
    </row>
    <row r="42" spans="1:31" x14ac:dyDescent="0.35">
      <c r="A42" s="139" t="s">
        <v>638</v>
      </c>
      <c r="B42" s="21" t="s">
        <v>362</v>
      </c>
      <c r="C42" s="4" t="s">
        <v>363</v>
      </c>
      <c r="D42" s="12"/>
      <c r="E42" s="15"/>
      <c r="F42" s="12">
        <v>100</v>
      </c>
      <c r="G42" s="20">
        <f t="shared" si="6"/>
        <v>100</v>
      </c>
      <c r="H42" s="15"/>
      <c r="I42" s="19"/>
      <c r="J42" s="12">
        <v>150</v>
      </c>
      <c r="K42" s="12"/>
      <c r="L42" s="20">
        <f>IF(I42="",0,IF(K42&gt;0,0,IF(I42="A",H42,IF(I42="M",H42*12,IF(I42="W",H42*(Lookups!$B$9+1),IF(I42="B",H42*(+Lookups!$B$10),IF(I42="S",H42*2,IF(AND(H42=0,K42&gt;0),K42,"ERROR"))))))))</f>
        <v>0</v>
      </c>
      <c r="M42" s="15"/>
      <c r="N42" s="19"/>
      <c r="O42" s="12">
        <v>0</v>
      </c>
      <c r="P42" s="12"/>
      <c r="Q42" s="20">
        <f>IF(N42="",0,IF(P42&gt;0,0,IF(N42="A",M42,IF(N42="M",M42*12,IF(N42="W",M42*(Lookups!$B$9),IF(N42="B",M42*(+Lookups!$B$10),IF(N42="S",M42*2,IF(AND(M42=0,P42&gt;0),P42,"ERROR"))))))))</f>
        <v>0</v>
      </c>
      <c r="R42" s="15"/>
      <c r="S42" s="19"/>
      <c r="T42" s="12">
        <f>16.6666666666667*12</f>
        <v>200.0000000000004</v>
      </c>
      <c r="U42" s="20">
        <f>IF(R42="",0,IF(T42&gt;0,0,IF(S42="A",R42,IF(S42="M",R42*12,IF(S42="W",R42*Lookups!B$9,IF(S42="B",R42*+Lookups!B$10,IF(S42="S",R42*2,IF(AND(R42=0,T42&gt;0),T42,"ERROR"))))))))</f>
        <v>0</v>
      </c>
      <c r="V42" s="130" t="str">
        <f>IF(OR(AND(Q42=0,H42=0),P42&gt;0),"",IF(AND(I42="W",N42="W"),ROUND(Q42-(H42*Lookups!$B$9),0),ROUND(+Q42-L42,0)))</f>
        <v/>
      </c>
      <c r="W42" s="75" t="str">
        <f t="shared" si="1"/>
        <v/>
      </c>
      <c r="X42" s="123" t="str">
        <f t="shared" si="4"/>
        <v/>
      </c>
      <c r="Y42" s="123" t="str">
        <f t="shared" si="3"/>
        <v/>
      </c>
      <c r="Z42" s="121"/>
    </row>
    <row r="43" spans="1:31" x14ac:dyDescent="0.35">
      <c r="B43" s="134" t="s">
        <v>67</v>
      </c>
      <c r="C43" s="4" t="s">
        <v>68</v>
      </c>
      <c r="D43" s="12">
        <v>2600</v>
      </c>
      <c r="E43" s="15">
        <v>5200</v>
      </c>
      <c r="F43" s="12">
        <v>5200</v>
      </c>
      <c r="G43" s="20">
        <f t="shared" si="6"/>
        <v>5200</v>
      </c>
      <c r="H43" s="15"/>
      <c r="I43" s="19" t="s">
        <v>38</v>
      </c>
      <c r="J43" s="12">
        <v>5000</v>
      </c>
      <c r="K43" s="12">
        <v>5200</v>
      </c>
      <c r="L43" s="20">
        <f>IF(I43="",0,IF(K43&gt;0,0,IF(I43="A",H43,IF(I43="M",H43*12,IF(I43="W",H43*(Lookups!$B$9+1),IF(I43="B",H43*(+Lookups!$B$10),IF(I43="S",H43*2,IF(AND(H43=0,K43&gt;0),K43,"ERROR"))))))))</f>
        <v>0</v>
      </c>
      <c r="M43" s="15"/>
      <c r="N43" s="19"/>
      <c r="O43" s="12">
        <v>5000</v>
      </c>
      <c r="P43" s="12">
        <v>5000</v>
      </c>
      <c r="Q43" s="20">
        <f>IF(N43="",0,IF(P43&gt;0,0,IF(N43="A",M43,IF(N43="M",M43*12,IF(N43="W",M43*(Lookups!$B$9),IF(N43="B",M43*(+Lookups!$B$10),IF(N43="S",M43*2,IF(AND(M43=0,P43&gt;0),P43,"ERROR"))))))))</f>
        <v>0</v>
      </c>
      <c r="R43" s="15"/>
      <c r="S43" s="19"/>
      <c r="T43" s="12">
        <v>5000</v>
      </c>
      <c r="U43" s="20">
        <f>IF(R43="",0,IF(T43&gt;0,0,IF(S43="A",R43,IF(S43="M",R43*12,IF(S43="W",R43*Lookups!B$9,IF(S43="B",R43*+Lookups!B$10,IF(S43="S",R43*2,IF(AND(R43=0,T43&gt;0),T43,"ERROR"))))))))</f>
        <v>0</v>
      </c>
      <c r="V43" s="130" t="str">
        <f>IF(OR(AND(Q43=0,H43=0),P43&gt;0),"",IF(AND(I43="W",N43="W"),ROUND(Q43-(H43*Lookups!$B$9),0),ROUND(+Q43-L43,0)))</f>
        <v/>
      </c>
      <c r="W43" s="75" t="str">
        <f t="shared" si="1"/>
        <v>E</v>
      </c>
      <c r="X43" s="123" t="str">
        <f t="shared" si="4"/>
        <v/>
      </c>
      <c r="Y43" s="123" t="str">
        <f t="shared" si="3"/>
        <v>Y</v>
      </c>
      <c r="Z43" s="121"/>
    </row>
    <row r="44" spans="1:31" x14ac:dyDescent="0.35">
      <c r="B44" s="21" t="s">
        <v>364</v>
      </c>
      <c r="C44" s="4" t="s">
        <v>365</v>
      </c>
      <c r="D44" s="12"/>
      <c r="E44" s="15"/>
      <c r="F44" s="12">
        <v>25</v>
      </c>
      <c r="G44" s="20">
        <f t="shared" si="6"/>
        <v>25</v>
      </c>
      <c r="H44" s="15"/>
      <c r="I44" s="19"/>
      <c r="J44" s="12"/>
      <c r="K44" s="12"/>
      <c r="L44" s="20">
        <f>IF(I44="",0,IF(K44&gt;0,0,IF(I44="A",H44,IF(I44="M",H44*12,IF(I44="W",H44*(Lookups!$B$9+1),IF(I44="B",H44*(+Lookups!$B$10),IF(I44="S",H44*2,IF(AND(H44=0,K44&gt;0),K44,"ERROR"))))))))</f>
        <v>0</v>
      </c>
      <c r="M44" s="15"/>
      <c r="N44" s="19"/>
      <c r="O44" s="12">
        <v>60</v>
      </c>
      <c r="P44" s="12"/>
      <c r="Q44" s="20">
        <f>IF(N44="",0,IF(P44&gt;0,0,IF(N44="A",M44,IF(N44="M",M44*12,IF(N44="W",M44*(Lookups!$B$9),IF(N44="B",M44*(+Lookups!$B$10),IF(N44="S",M44*2,IF(AND(M44=0,P44&gt;0),P44,"ERROR"))))))))</f>
        <v>0</v>
      </c>
      <c r="R44" s="15"/>
      <c r="S44" s="19"/>
      <c r="T44" s="12"/>
      <c r="U44" s="20">
        <f>IF(R44="",0,IF(T44&gt;0,0,IF(S44="A",R44,IF(S44="M",R44*12,IF(S44="W",R44*Lookups!B$9,IF(S44="B",R44*+Lookups!B$10,IF(S44="S",R44*2,IF(AND(R44=0,T44&gt;0),T44,"ERROR"))))))))</f>
        <v>0</v>
      </c>
      <c r="V44" s="130" t="str">
        <f>IF(OR(AND(Q44=0,H44=0),P44&gt;0),"",IF(AND(I44="W",N44="W"),ROUND(Q44-(H44*Lookups!$B$9),0),ROUND(+Q44-L44,0)))</f>
        <v/>
      </c>
      <c r="W44" s="75" t="str">
        <f t="shared" si="1"/>
        <v/>
      </c>
      <c r="X44" s="123" t="str">
        <f t="shared" si="4"/>
        <v/>
      </c>
      <c r="Y44" s="123" t="str">
        <f t="shared" si="3"/>
        <v/>
      </c>
      <c r="Z44" s="121"/>
    </row>
    <row r="45" spans="1:31" x14ac:dyDescent="0.35">
      <c r="B45" s="21" t="s">
        <v>248</v>
      </c>
      <c r="C45" s="4" t="s">
        <v>249</v>
      </c>
      <c r="D45" s="12">
        <v>120</v>
      </c>
      <c r="E45" s="15"/>
      <c r="F45" s="12"/>
      <c r="G45" s="20">
        <f t="shared" si="6"/>
        <v>0</v>
      </c>
      <c r="H45" s="15"/>
      <c r="I45" s="19"/>
      <c r="J45" s="12">
        <v>320</v>
      </c>
      <c r="K45" s="12"/>
      <c r="L45" s="20">
        <f>IF(I45="",0,IF(K45&gt;0,0,IF(I45="A",H45,IF(I45="M",H45*12,IF(I45="W",H45*(Lookups!$B$9+1),IF(I45="B",H45*(+Lookups!$B$10),IF(I45="S",H45*2,IF(AND(H45=0,K45&gt;0),K45,"ERROR"))))))))</f>
        <v>0</v>
      </c>
      <c r="M45" s="15">
        <v>5</v>
      </c>
      <c r="N45" s="19" t="s">
        <v>41</v>
      </c>
      <c r="O45" s="12">
        <v>310</v>
      </c>
      <c r="P45" s="12">
        <v>350</v>
      </c>
      <c r="Q45" s="20">
        <f>IF(N45="",0,IF(P45&gt;0,0,IF(N45="A",M45,IF(N45="M",M45*12,IF(N45="W",M45*(Lookups!$B$9),IF(N45="B",M45*(+Lookups!$B$10),IF(N45="S",M45*2,IF(AND(M45=0,P45&gt;0),P45,"ERROR"))))))))</f>
        <v>0</v>
      </c>
      <c r="R45" s="15">
        <v>5</v>
      </c>
      <c r="S45" s="19" t="s">
        <v>41</v>
      </c>
      <c r="T45" s="12"/>
      <c r="U45" s="20">
        <f>IF(R45="",0,IF(T45&gt;0,0,IF(S45="A",R45,IF(S45="M",R45*12,IF(S45="W",R45*Lookups!B$9,IF(S45="B",R45*+Lookups!B$10,IF(S45="S",R45*2,IF(AND(R45=0,T45&gt;0),T45,"ERROR"))))))))</f>
        <v>260</v>
      </c>
      <c r="V45" s="130" t="str">
        <f>IF(OR(AND(Q45=0,H45=0),P45&gt;0),"",IF(AND(I45="W",N45="W"),ROUND(Q45-(H45*Lookups!$B$9),0),ROUND(+Q45-L45,0)))</f>
        <v/>
      </c>
      <c r="W45" s="75" t="str">
        <f t="shared" si="1"/>
        <v>E</v>
      </c>
      <c r="X45" s="123" t="str">
        <f t="shared" si="4"/>
        <v/>
      </c>
      <c r="Y45" s="123" t="str">
        <f t="shared" si="3"/>
        <v>Y</v>
      </c>
      <c r="Z45" s="121"/>
      <c r="AB45" s="53" t="s">
        <v>538</v>
      </c>
      <c r="AC45" s="53" t="s">
        <v>418</v>
      </c>
      <c r="AD45" s="54" t="s">
        <v>395</v>
      </c>
      <c r="AE45" s="55">
        <v>53406</v>
      </c>
    </row>
    <row r="46" spans="1:31" x14ac:dyDescent="0.35">
      <c r="B46" s="21" t="s">
        <v>69</v>
      </c>
      <c r="C46" s="4" t="s">
        <v>70</v>
      </c>
      <c r="D46" s="12">
        <v>1680</v>
      </c>
      <c r="E46" s="15">
        <v>1800</v>
      </c>
      <c r="F46" s="12">
        <v>1350</v>
      </c>
      <c r="G46" s="20">
        <f t="shared" si="6"/>
        <v>1800</v>
      </c>
      <c r="H46" s="15">
        <v>150</v>
      </c>
      <c r="I46" s="19" t="s">
        <v>42</v>
      </c>
      <c r="J46" s="12">
        <v>1350</v>
      </c>
      <c r="K46" s="12"/>
      <c r="L46" s="20">
        <f>IF(I46="",0,IF(K46&gt;0,0,IF(I46="A",H46,IF(I46="M",H46*12,IF(I46="W",H46*(Lookups!$B$9+1),IF(I46="B",H46*(+Lookups!$B$10),IF(I46="S",H46*2,IF(AND(H46=0,K46&gt;0),K46,"ERROR"))))))))</f>
        <v>1800</v>
      </c>
      <c r="M46" s="15">
        <v>150</v>
      </c>
      <c r="N46" s="19" t="s">
        <v>42</v>
      </c>
      <c r="O46" s="12">
        <v>1200</v>
      </c>
      <c r="P46" s="12"/>
      <c r="Q46" s="20">
        <f>IF(N46="",0,IF(P46&gt;0,0,IF(N46="A",M46,IF(N46="M",M46*12,IF(N46="W",M46*(Lookups!$B$9),IF(N46="B",M46*(+Lookups!$B$10),IF(N46="S",M46*2,IF(AND(M46=0,P46&gt;0),P46,"ERROR"))))))))</f>
        <v>1800</v>
      </c>
      <c r="R46" s="15">
        <v>150</v>
      </c>
      <c r="S46" s="19" t="s">
        <v>42</v>
      </c>
      <c r="T46" s="12"/>
      <c r="U46" s="20">
        <f>IF(R46="",0,IF(T46&gt;0,0,IF(S46="A",R46,IF(S46="M",R46*12,IF(S46="W",R46*Lookups!B$9,IF(S46="B",R46*+Lookups!B$10,IF(S46="S",R46*2,IF(AND(R46=0,T46&gt;0),T46,"ERROR"))))))))</f>
        <v>1800</v>
      </c>
      <c r="V46" s="130">
        <f>IF(OR(AND(Q46=0,H46=0),P46&gt;0),"",IF(AND(I46="W",N46="W"),ROUND(Q46-(H46*Lookups!$B$9),0),ROUND(+Q46-L46,0)))</f>
        <v>0</v>
      </c>
      <c r="W46" s="75" t="str">
        <f t="shared" si="1"/>
        <v>S</v>
      </c>
      <c r="X46" s="123" t="str">
        <f t="shared" si="4"/>
        <v>N</v>
      </c>
      <c r="Y46" s="123" t="str">
        <f t="shared" si="3"/>
        <v/>
      </c>
      <c r="Z46" s="121"/>
      <c r="AA46" s="52" t="s">
        <v>423</v>
      </c>
      <c r="AB46" s="53" t="s">
        <v>424</v>
      </c>
      <c r="AC46" s="53" t="s">
        <v>394</v>
      </c>
      <c r="AD46" s="54" t="s">
        <v>395</v>
      </c>
      <c r="AE46" s="55" t="s">
        <v>542</v>
      </c>
    </row>
    <row r="47" spans="1:31" x14ac:dyDescent="0.35">
      <c r="B47" s="134" t="s">
        <v>71</v>
      </c>
      <c r="C47" s="4" t="s">
        <v>72</v>
      </c>
      <c r="D47" s="12">
        <v>735</v>
      </c>
      <c r="E47" s="15">
        <v>1560</v>
      </c>
      <c r="F47" s="12">
        <v>445</v>
      </c>
      <c r="G47" s="20">
        <f t="shared" si="6"/>
        <v>445</v>
      </c>
      <c r="H47" s="15"/>
      <c r="I47" s="19" t="s">
        <v>41</v>
      </c>
      <c r="J47" s="12">
        <v>85</v>
      </c>
      <c r="K47" s="12">
        <v>1000</v>
      </c>
      <c r="L47" s="20">
        <f>IF(I47="",0,IF(K47&gt;0,0,IF(I47="A",H47,IF(I47="M",H47*12,IF(I47="W",H47*(Lookups!$B$9+1),IF(I47="B",H47*(+Lookups!$B$10),IF(I47="S",H47*2,IF(AND(H47=0,K47&gt;0),K47,"ERROR"))))))))</f>
        <v>0</v>
      </c>
      <c r="M47" s="15">
        <v>100</v>
      </c>
      <c r="N47" s="19" t="s">
        <v>42</v>
      </c>
      <c r="O47" s="12">
        <v>890</v>
      </c>
      <c r="P47" s="12"/>
      <c r="Q47" s="20">
        <f>IF(N47="",0,IF(P47&gt;0,0,IF(N47="A",M47,IF(N47="M",M47*12,IF(N47="W",M47*(Lookups!$B$9),IF(N47="B",M47*(+Lookups!$B$10),IF(N47="S",M47*2,IF(AND(M47=0,P47&gt;0),P47,"ERROR"))))))))</f>
        <v>1200</v>
      </c>
      <c r="R47" s="15"/>
      <c r="S47" s="19"/>
      <c r="T47" s="12"/>
      <c r="U47" s="20">
        <f>IF(R47="",0,IF(T47&gt;0,0,IF(S47="A",R47,IF(S47="M",R47*12,IF(S47="W",R47*Lookups!B$9,IF(S47="B",R47*+Lookups!B$10,IF(S47="S",R47*2,IF(AND(R47=0,T47&gt;0),T47,"ERROR"))))))))</f>
        <v>0</v>
      </c>
      <c r="V47" s="130">
        <f>IF(OR(AND(Q47=0,H47=0),P47&gt;0),"",IF(AND(I47="W",N47="W"),ROUND(Q47-(H47*Lookups!$B$9),0),ROUND(+Q47-L47,0)))</f>
        <v>1200</v>
      </c>
      <c r="W47" s="75" t="str">
        <f t="shared" si="1"/>
        <v>N</v>
      </c>
      <c r="X47" s="123" t="str">
        <f t="shared" si="4"/>
        <v>N</v>
      </c>
      <c r="Y47" s="123" t="str">
        <f t="shared" si="3"/>
        <v/>
      </c>
      <c r="Z47" s="121"/>
    </row>
    <row r="48" spans="1:31" x14ac:dyDescent="0.35">
      <c r="A48" s="139" t="s">
        <v>638</v>
      </c>
      <c r="B48" s="21" t="s">
        <v>250</v>
      </c>
      <c r="C48" s="4" t="s">
        <v>251</v>
      </c>
      <c r="D48" s="12">
        <v>300</v>
      </c>
      <c r="E48" s="15"/>
      <c r="F48" s="12"/>
      <c r="G48" s="20">
        <f t="shared" si="6"/>
        <v>0</v>
      </c>
      <c r="H48" s="15"/>
      <c r="I48" s="19"/>
      <c r="J48" s="12"/>
      <c r="K48" s="12"/>
      <c r="L48" s="20">
        <f>IF(I48="",0,IF(K48&gt;0,0,IF(I48="A",H48,IF(I48="M",H48*12,IF(I48="W",H48*(Lookups!$B$9+1),IF(I48="B",H48*(+Lookups!$B$10),IF(I48="S",H48*2,IF(AND(H48=0,K48&gt;0),K48,"ERROR"))))))))</f>
        <v>0</v>
      </c>
      <c r="M48" s="15"/>
      <c r="N48" s="19"/>
      <c r="O48" s="12">
        <v>0</v>
      </c>
      <c r="P48" s="12"/>
      <c r="Q48" s="20">
        <f>IF(N48="",0,IF(P48&gt;0,0,IF(N48="A",M48,IF(N48="M",M48*12,IF(N48="W",M48*(Lookups!$B$9),IF(N48="B",M48*(+Lookups!$B$10),IF(N48="S",M48*2,IF(AND(M48=0,P48&gt;0),P48,"ERROR"))))))))</f>
        <v>0</v>
      </c>
      <c r="R48" s="15"/>
      <c r="S48" s="19"/>
      <c r="T48" s="12"/>
      <c r="U48" s="20">
        <f>IF(R48="",0,IF(T48&gt;0,0,IF(S48="A",R48,IF(S48="M",R48*12,IF(S48="W",R48*Lookups!B$9,IF(S48="B",R48*+Lookups!B$10,IF(S48="S",R48*2,IF(AND(R48=0,T48&gt;0),T48,"ERROR"))))))))</f>
        <v>0</v>
      </c>
      <c r="V48" s="130" t="str">
        <f>IF(OR(AND(Q48=0,H48=0),P48&gt;0),"",IF(AND(I48="W",N48="W"),ROUND(Q48-(H48*Lookups!$B$9),0),ROUND(+Q48-L48,0)))</f>
        <v/>
      </c>
      <c r="W48" s="75" t="str">
        <f t="shared" si="1"/>
        <v/>
      </c>
      <c r="X48" s="123" t="str">
        <f t="shared" si="4"/>
        <v/>
      </c>
      <c r="Y48" s="123" t="str">
        <f t="shared" si="3"/>
        <v/>
      </c>
      <c r="Z48" s="121"/>
    </row>
    <row r="49" spans="1:31" x14ac:dyDescent="0.35">
      <c r="B49" s="21" t="s">
        <v>73</v>
      </c>
      <c r="C49" s="4" t="s">
        <v>74</v>
      </c>
      <c r="D49" s="12">
        <v>300</v>
      </c>
      <c r="E49" s="15">
        <v>360</v>
      </c>
      <c r="F49" s="12">
        <v>240</v>
      </c>
      <c r="G49" s="20">
        <f t="shared" si="6"/>
        <v>240</v>
      </c>
      <c r="H49" s="15"/>
      <c r="I49" s="19" t="s">
        <v>42</v>
      </c>
      <c r="J49" s="12">
        <v>450</v>
      </c>
      <c r="K49" s="12">
        <v>250</v>
      </c>
      <c r="L49" s="20">
        <f>IF(I49="",0,IF(K49&gt;0,0,IF(I49="A",H49,IF(I49="M",H49*12,IF(I49="W",H49*(Lookups!$B$9+1),IF(I49="B",H49*(+Lookups!$B$10),IF(I49="S",H49*2,IF(AND(H49=0,K49&gt;0),K49,"ERROR"))))))))</f>
        <v>0</v>
      </c>
      <c r="M49" s="15">
        <v>50</v>
      </c>
      <c r="N49" s="19" t="s">
        <v>42</v>
      </c>
      <c r="O49" s="12">
        <v>250</v>
      </c>
      <c r="P49" s="12"/>
      <c r="Q49" s="20">
        <f>IF(N49="",0,IF(P49&gt;0,0,IF(N49="A",M49,IF(N49="M",M49*12,IF(N49="W",M49*(Lookups!$B$9),IF(N49="B",M49*(+Lookups!$B$10),IF(N49="S",M49*2,IF(AND(M49=0,P49&gt;0),P49,"ERROR"))))))))</f>
        <v>600</v>
      </c>
      <c r="R49" s="15">
        <v>50</v>
      </c>
      <c r="S49" s="19" t="s">
        <v>42</v>
      </c>
      <c r="T49" s="12"/>
      <c r="U49" s="20">
        <f>IF(R49="",0,IF(T49&gt;0,0,IF(S49="A",R49,IF(S49="M",R49*12,IF(S49="W",R49*Lookups!B$9,IF(S49="B",R49*+Lookups!B$10,IF(S49="S",R49*2,IF(AND(R49=0,T49&gt;0),T49,"ERROR"))))))))</f>
        <v>600</v>
      </c>
      <c r="V49" s="130">
        <f>IF(OR(AND(Q49=0,H49=0),P49&gt;0),"",IF(AND(I49="W",N49="W"),ROUND(Q49-(H49*Lookups!$B$9),0),ROUND(+Q49-L49,0)))</f>
        <v>600</v>
      </c>
      <c r="W49" s="75" t="str">
        <f t="shared" si="1"/>
        <v>N</v>
      </c>
      <c r="X49" s="123" t="str">
        <f t="shared" si="4"/>
        <v>N</v>
      </c>
      <c r="Y49" s="123" t="str">
        <f t="shared" si="3"/>
        <v/>
      </c>
      <c r="Z49" s="121"/>
      <c r="AA49" s="52" t="s">
        <v>539</v>
      </c>
      <c r="AB49" s="53" t="s">
        <v>540</v>
      </c>
      <c r="AC49" s="53" t="s">
        <v>418</v>
      </c>
      <c r="AD49" s="54" t="s">
        <v>395</v>
      </c>
      <c r="AE49" s="55">
        <v>53404</v>
      </c>
    </row>
    <row r="50" spans="1:31" x14ac:dyDescent="0.35">
      <c r="B50" s="21" t="s">
        <v>425</v>
      </c>
      <c r="C50" s="4" t="s">
        <v>75</v>
      </c>
      <c r="D50" s="12">
        <v>3600</v>
      </c>
      <c r="E50" s="15">
        <v>3720</v>
      </c>
      <c r="F50" s="12">
        <v>2480</v>
      </c>
      <c r="G50" s="20">
        <f t="shared" si="6"/>
        <v>2480</v>
      </c>
      <c r="H50" s="15">
        <v>310</v>
      </c>
      <c r="I50" s="19" t="s">
        <v>42</v>
      </c>
      <c r="J50" s="12">
        <v>2480</v>
      </c>
      <c r="K50" s="12"/>
      <c r="L50" s="20">
        <f>IF(I50="",0,IF(K50&gt;0,0,IF(I50="A",H50,IF(I50="M",H50*12,IF(I50="W",H50*(Lookups!$B$9+1),IF(I50="B",H50*(+Lookups!$B$10),IF(I50="S",H50*2,IF(AND(H50=0,K50&gt;0),K50,"ERROR"))))))))</f>
        <v>3720</v>
      </c>
      <c r="M50" s="15"/>
      <c r="N50" s="19"/>
      <c r="O50" s="12">
        <v>960</v>
      </c>
      <c r="P50" s="12">
        <v>1000</v>
      </c>
      <c r="Q50" s="20">
        <f>IF(N50="",0,IF(P50&gt;0,0,IF(N50="A",M50,IF(N50="M",M50*12,IF(N50="W",M50*(Lookups!$B$9),IF(N50="B",M50*(+Lookups!$B$10),IF(N50="S",M50*2,IF(AND(M50=0,P50&gt;0),P50,"ERROR"))))))))</f>
        <v>0</v>
      </c>
      <c r="R50" s="15"/>
      <c r="S50" s="19"/>
      <c r="T50" s="12"/>
      <c r="U50" s="20">
        <f>IF(R50="",0,IF(T50&gt;0,0,IF(S50="A",R50,IF(S50="M",R50*12,IF(S50="W",R50*Lookups!B$9,IF(S50="B",R50*+Lookups!B$10,IF(S50="S",R50*2,IF(AND(R50=0,T50&gt;0),T50,"ERROR"))))))))</f>
        <v>0</v>
      </c>
      <c r="V50" s="130" t="str">
        <f>IF(OR(AND(Q50=0,H50=0),P50&gt;0),"",IF(AND(I50="W",N50="W"),ROUND(Q50-(H50*Lookups!$B$9),0),ROUND(+Q50-L50,0)))</f>
        <v/>
      </c>
      <c r="W50" s="75" t="str">
        <f t="shared" si="1"/>
        <v>E</v>
      </c>
      <c r="X50" s="123" t="str">
        <f t="shared" si="4"/>
        <v/>
      </c>
      <c r="Y50" s="123" t="str">
        <f t="shared" si="3"/>
        <v>Y</v>
      </c>
      <c r="Z50" s="121"/>
      <c r="AB50" s="53" t="s">
        <v>426</v>
      </c>
      <c r="AC50" s="53" t="s">
        <v>394</v>
      </c>
      <c r="AD50" s="54" t="s">
        <v>395</v>
      </c>
      <c r="AE50" s="55">
        <v>53406</v>
      </c>
    </row>
    <row r="51" spans="1:31" x14ac:dyDescent="0.35">
      <c r="A51" s="139" t="s">
        <v>638</v>
      </c>
      <c r="B51" s="21" t="s">
        <v>76</v>
      </c>
      <c r="C51" s="4" t="s">
        <v>77</v>
      </c>
      <c r="D51" s="12">
        <v>2652</v>
      </c>
      <c r="E51" s="15">
        <v>2756</v>
      </c>
      <c r="F51" s="12">
        <v>689</v>
      </c>
      <c r="G51" s="20">
        <f t="shared" si="6"/>
        <v>689</v>
      </c>
      <c r="H51" s="15"/>
      <c r="I51" s="19" t="s">
        <v>41</v>
      </c>
      <c r="J51" s="12"/>
      <c r="K51" s="19"/>
      <c r="L51" s="20">
        <f>IF(I51="",0,IF(K51&gt;0,0,IF(I51="A",H51,IF(I51="M",H51*12,IF(I51="W",H51*(Lookups!$B$9+1),IF(I51="B",H51*(+Lookups!$B$10),IF(I51="S",H51*2,IF(AND(H51=0,K51&gt;0),K51,"ERROR"))))))))</f>
        <v>0</v>
      </c>
      <c r="M51" s="15"/>
      <c r="N51" s="19"/>
      <c r="O51" s="12">
        <v>0</v>
      </c>
      <c r="P51" s="19"/>
      <c r="Q51" s="20">
        <f>IF(N51="",0,IF(P51&gt;0,0,IF(N51="A",M51,IF(N51="M",M51*12,IF(N51="W",M51*(Lookups!$B$9),IF(N51="B",M51*(+Lookups!$B$10),IF(N51="S",M51*2,IF(AND(M51=0,P51&gt;0),P51,"ERROR"))))))))</f>
        <v>0</v>
      </c>
      <c r="R51" s="15"/>
      <c r="S51" s="19"/>
      <c r="T51" s="19"/>
      <c r="U51" s="20">
        <f>IF(R51="",0,IF(T51&gt;0,0,IF(S51="A",R51,IF(S51="M",R51*12,IF(S51="W",R51*Lookups!B$9,IF(S51="B",R51*+Lookups!B$10,IF(S51="S",R51*2,IF(AND(R51=0,T51&gt;0),T51,"ERROR"))))))))</f>
        <v>0</v>
      </c>
      <c r="V51" s="130" t="str">
        <f>IF(OR(AND(Q51=0,H51=0),P51&gt;0),"",IF(AND(I51="W",N51="W"),ROUND(Q51-(H51*Lookups!$B$9),0),ROUND(+Q51-L51,0)))</f>
        <v/>
      </c>
      <c r="W51" s="75" t="str">
        <f t="shared" si="1"/>
        <v/>
      </c>
      <c r="X51" s="123" t="str">
        <f t="shared" si="4"/>
        <v/>
      </c>
      <c r="Y51" s="123" t="str">
        <f t="shared" si="3"/>
        <v/>
      </c>
      <c r="Z51" s="121"/>
    </row>
    <row r="52" spans="1:31" x14ac:dyDescent="0.35">
      <c r="A52" s="139" t="s">
        <v>638</v>
      </c>
      <c r="B52" s="134" t="s">
        <v>78</v>
      </c>
      <c r="C52" s="4" t="s">
        <v>79</v>
      </c>
      <c r="D52" s="12">
        <v>6500</v>
      </c>
      <c r="E52" s="15">
        <v>6500</v>
      </c>
      <c r="F52" s="12">
        <v>4875</v>
      </c>
      <c r="G52" s="20">
        <f t="shared" si="6"/>
        <v>6500</v>
      </c>
      <c r="H52" s="15">
        <v>125</v>
      </c>
      <c r="I52" s="19" t="s">
        <v>41</v>
      </c>
      <c r="J52" s="12">
        <v>4375</v>
      </c>
      <c r="K52" s="12"/>
      <c r="L52" s="20">
        <f>IF(I52="",0,IF(K52&gt;0,0,IF(I52="A",H52,IF(I52="M",H52*12,IF(I52="W",H52*(Lookups!$B$9+1),IF(I52="B",H52*(+Lookups!$B$10),IF(I52="S",H52*2,IF(AND(H52=0,K52&gt;0),K52,"ERROR"))))))))</f>
        <v>6625</v>
      </c>
      <c r="M52" s="15"/>
      <c r="N52" s="19"/>
      <c r="O52" s="12">
        <v>0</v>
      </c>
      <c r="P52" s="12"/>
      <c r="Q52" s="20">
        <f>IF(N52="",0,IF(P52&gt;0,0,IF(N52="A",M52,IF(N52="M",M52*12,IF(N52="W",M52*(Lookups!$B$9),IF(N52="B",M52*(+Lookups!$B$10),IF(N52="S",M52*2,IF(AND(M52=0,P52&gt;0),P52,"ERROR"))))))))</f>
        <v>0</v>
      </c>
      <c r="R52" s="15"/>
      <c r="S52" s="19"/>
      <c r="T52" s="12">
        <v>5800</v>
      </c>
      <c r="U52" s="20">
        <f>IF(R52="",0,IF(T52&gt;0,0,IF(S52="A",R52,IF(S52="M",R52*12,IF(S52="W",R52*Lookups!B$9,IF(S52="B",R52*+Lookups!B$10,IF(S52="S",R52*2,IF(AND(R52=0,T52&gt;0),T52,"ERROR"))))))))</f>
        <v>0</v>
      </c>
      <c r="V52" s="130">
        <f>IF(OR(AND(Q52=0,H52=0),P52&gt;0),"",IF(AND(I52="W",N52="W"),ROUND(Q52-(H52*Lookups!$B$9),0),ROUND(+Q52-L52,0)))</f>
        <v>-6625</v>
      </c>
      <c r="W52" s="174" t="s">
        <v>631</v>
      </c>
      <c r="X52" s="123" t="str">
        <f t="shared" si="4"/>
        <v/>
      </c>
      <c r="Y52" s="123" t="str">
        <f t="shared" si="3"/>
        <v/>
      </c>
      <c r="Z52" s="121"/>
    </row>
    <row r="53" spans="1:31" x14ac:dyDescent="0.35">
      <c r="B53" s="21" t="s">
        <v>80</v>
      </c>
      <c r="C53" s="4" t="s">
        <v>81</v>
      </c>
      <c r="D53" s="12">
        <v>240</v>
      </c>
      <c r="E53" s="15">
        <v>240</v>
      </c>
      <c r="F53" s="12">
        <v>120</v>
      </c>
      <c r="G53" s="20">
        <f t="shared" si="6"/>
        <v>120</v>
      </c>
      <c r="H53" s="15">
        <v>20</v>
      </c>
      <c r="I53" s="19" t="s">
        <v>42</v>
      </c>
      <c r="J53" s="12">
        <v>180</v>
      </c>
      <c r="K53" s="12"/>
      <c r="L53" s="20">
        <f>IF(I53="",0,IF(K53&gt;0,0,IF(I53="A",H53,IF(I53="M",H53*12,IF(I53="W",H53*(Lookups!$B$9+1),IF(I53="B",H53*(+Lookups!$B$10),IF(I53="S",H53*2,IF(AND(H53=0,K53&gt;0),K53,"ERROR"))))))))</f>
        <v>240</v>
      </c>
      <c r="M53" s="15">
        <v>20</v>
      </c>
      <c r="N53" s="19" t="s">
        <v>42</v>
      </c>
      <c r="O53" s="12">
        <v>160</v>
      </c>
      <c r="P53" s="12"/>
      <c r="Q53" s="20">
        <f>IF(N53="",0,IF(P53&gt;0,0,IF(N53="A",M53,IF(N53="M",M53*12,IF(N53="W",M53*(Lookups!$B$9),IF(N53="B",M53*(+Lookups!$B$10),IF(N53="S",M53*2,IF(AND(M53=0,P53&gt;0),P53,"ERROR"))))))))</f>
        <v>240</v>
      </c>
      <c r="R53" s="15">
        <v>20</v>
      </c>
      <c r="S53" s="19" t="s">
        <v>42</v>
      </c>
      <c r="T53" s="12"/>
      <c r="U53" s="20">
        <f>IF(R53="",0,IF(T53&gt;0,0,IF(S53="A",R53,IF(S53="M",R53*12,IF(S53="W",R53*Lookups!B$9,IF(S53="B",R53*+Lookups!B$10,IF(S53="S",R53*2,IF(AND(R53=0,T53&gt;0),T53,"ERROR"))))))))</f>
        <v>240</v>
      </c>
      <c r="V53" s="130">
        <f>IF(OR(AND(Q53=0,H53=0),P53&gt;0),"",IF(AND(I53="W",N53="W"),ROUND(Q53-(H53*Lookups!$B$9),0),ROUND(+Q53-L53,0)))</f>
        <v>0</v>
      </c>
      <c r="W53" s="75" t="str">
        <f t="shared" si="1"/>
        <v>S</v>
      </c>
      <c r="X53" s="123" t="str">
        <f t="shared" si="4"/>
        <v>N</v>
      </c>
      <c r="Y53" s="123" t="str">
        <f t="shared" si="3"/>
        <v/>
      </c>
      <c r="Z53" s="121"/>
      <c r="AB53" s="53" t="s">
        <v>541</v>
      </c>
      <c r="AC53" s="53" t="s">
        <v>418</v>
      </c>
      <c r="AD53" s="54" t="s">
        <v>395</v>
      </c>
      <c r="AE53" s="55">
        <v>53405</v>
      </c>
    </row>
    <row r="54" spans="1:31" x14ac:dyDescent="0.35">
      <c r="A54" s="139" t="s">
        <v>638</v>
      </c>
      <c r="B54" s="21" t="s">
        <v>82</v>
      </c>
      <c r="C54" s="4" t="s">
        <v>83</v>
      </c>
      <c r="D54" s="12">
        <v>40</v>
      </c>
      <c r="E54" s="15">
        <v>260</v>
      </c>
      <c r="F54" s="12">
        <v>195</v>
      </c>
      <c r="G54" s="20">
        <f t="shared" si="6"/>
        <v>260</v>
      </c>
      <c r="H54" s="15"/>
      <c r="I54" s="19" t="s">
        <v>41</v>
      </c>
      <c r="J54" s="12"/>
      <c r="K54" s="12"/>
      <c r="L54" s="20">
        <f>IF(I54="",0,IF(K54&gt;0,0,IF(I54="A",H54,IF(I54="M",H54*12,IF(I54="W",H54*(Lookups!$B$9+1),IF(I54="B",H54*(+Lookups!$B$10),IF(I54="S",H54*2,IF(AND(H54=0,K54&gt;0),K54,"ERROR"))))))))</f>
        <v>0</v>
      </c>
      <c r="M54" s="15"/>
      <c r="N54" s="19"/>
      <c r="O54" s="12">
        <v>0</v>
      </c>
      <c r="P54" s="12"/>
      <c r="Q54" s="20">
        <f>IF(N54="",0,IF(P54&gt;0,0,IF(N54="A",M54,IF(N54="M",M54*12,IF(N54="W",M54*(Lookups!$B$9),IF(N54="B",M54*(+Lookups!$B$10),IF(N54="S",M54*2,IF(AND(M54=0,P54&gt;0),P54,"ERROR"))))))))</f>
        <v>0</v>
      </c>
      <c r="R54" s="15"/>
      <c r="S54" s="19"/>
      <c r="T54" s="12"/>
      <c r="U54" s="20">
        <f>IF(R54="",0,IF(T54&gt;0,0,IF(S54="A",R54,IF(S54="M",R54*12,IF(S54="W",R54*Lookups!B$9,IF(S54="B",R54*+Lookups!B$10,IF(S54="S",R54*2,IF(AND(R54=0,T54&gt;0),T54,"ERROR"))))))))</f>
        <v>0</v>
      </c>
      <c r="V54" s="130" t="str">
        <f>IF(OR(AND(Q54=0,H54=0),P54&gt;0),"",IF(AND(I54="W",N54="W"),ROUND(Q54-(H54*Lookups!$B$9),0),ROUND(+Q54-L54,0)))</f>
        <v/>
      </c>
      <c r="W54" s="75" t="str">
        <f t="shared" si="1"/>
        <v/>
      </c>
      <c r="X54" s="123" t="str">
        <f t="shared" si="4"/>
        <v/>
      </c>
      <c r="Y54" s="123" t="str">
        <f t="shared" si="3"/>
        <v/>
      </c>
      <c r="Z54" s="121"/>
    </row>
    <row r="55" spans="1:31" x14ac:dyDescent="0.35">
      <c r="B55" s="21" t="s">
        <v>84</v>
      </c>
      <c r="C55" s="4" t="s">
        <v>85</v>
      </c>
      <c r="D55" s="12">
        <v>3110</v>
      </c>
      <c r="E55" s="15">
        <v>3240</v>
      </c>
      <c r="F55" s="12">
        <v>2430</v>
      </c>
      <c r="G55" s="20">
        <f t="shared" si="6"/>
        <v>3240</v>
      </c>
      <c r="H55" s="15">
        <v>300</v>
      </c>
      <c r="I55" s="19" t="s">
        <v>42</v>
      </c>
      <c r="J55" s="12">
        <v>2700</v>
      </c>
      <c r="K55" s="12"/>
      <c r="L55" s="20">
        <f>IF(I55="",0,IF(K55&gt;0,0,IF(I55="A",H55,IF(I55="M",H55*12,IF(I55="W",H55*(Lookups!$B$9+1),IF(I55="B",H55*(+Lookups!$B$10),IF(I55="S",H55*2,IF(AND(H55=0,K55&gt;0),K55,"ERROR"))))))))</f>
        <v>3600</v>
      </c>
      <c r="M55" s="15">
        <v>300</v>
      </c>
      <c r="N55" s="19" t="s">
        <v>42</v>
      </c>
      <c r="O55" s="12">
        <v>2400</v>
      </c>
      <c r="P55" s="12"/>
      <c r="Q55" s="20">
        <f>IF(N55="",0,IF(P55&gt;0,0,IF(N55="A",M55,IF(N55="M",M55*12,IF(N55="W",M55*(Lookups!$B$9),IF(N55="B",M55*(+Lookups!$B$10),IF(N55="S",M55*2,IF(AND(M55=0,P55&gt;0),P55,"ERROR"))))))))</f>
        <v>3600</v>
      </c>
      <c r="R55" s="15">
        <v>300</v>
      </c>
      <c r="S55" s="19" t="s">
        <v>42</v>
      </c>
      <c r="T55" s="12"/>
      <c r="U55" s="20">
        <f>IF(R55="",0,IF(T55&gt;0,0,IF(S55="A",R55,IF(S55="M",R55*12,IF(S55="W",R55*Lookups!B$9,IF(S55="B",R55*+Lookups!B$10,IF(S55="S",R55*2,IF(AND(R55=0,T55&gt;0),T55,"ERROR"))))))))</f>
        <v>3600</v>
      </c>
      <c r="V55" s="130">
        <f>IF(OR(AND(Q55=0,H55=0),P55&gt;0),"",IF(AND(I55="W",N55="W"),ROUND(Q55-(H55*Lookups!$B$9),0),ROUND(+Q55-L55,0)))</f>
        <v>0</v>
      </c>
      <c r="W55" s="75" t="str">
        <f t="shared" si="1"/>
        <v>S</v>
      </c>
      <c r="X55" s="123" t="str">
        <f t="shared" si="4"/>
        <v>N</v>
      </c>
      <c r="Y55" s="123" t="str">
        <f t="shared" si="3"/>
        <v/>
      </c>
      <c r="Z55" s="121"/>
      <c r="AA55" s="52" t="s">
        <v>427</v>
      </c>
      <c r="AB55" s="53" t="s">
        <v>428</v>
      </c>
      <c r="AC55" s="53" t="s">
        <v>394</v>
      </c>
      <c r="AD55" s="54" t="s">
        <v>395</v>
      </c>
      <c r="AE55" s="55" t="s">
        <v>429</v>
      </c>
    </row>
    <row r="56" spans="1:31" x14ac:dyDescent="0.35">
      <c r="B56" s="21" t="s">
        <v>86</v>
      </c>
      <c r="C56" s="4" t="s">
        <v>87</v>
      </c>
      <c r="D56" s="12">
        <v>2220</v>
      </c>
      <c r="E56" s="15">
        <v>2280</v>
      </c>
      <c r="F56" s="12">
        <v>1710</v>
      </c>
      <c r="G56" s="20">
        <f t="shared" si="6"/>
        <v>2280</v>
      </c>
      <c r="H56" s="15">
        <v>200</v>
      </c>
      <c r="I56" s="19" t="s">
        <v>42</v>
      </c>
      <c r="J56" s="12">
        <v>1800</v>
      </c>
      <c r="K56" s="12"/>
      <c r="L56" s="20">
        <f>IF(I56="",0,IF(K56&gt;0,0,IF(I56="A",H56,IF(I56="M",H56*12,IF(I56="W",H56*(Lookups!$B$9+1),IF(I56="B",H56*(+Lookups!$B$10),IF(I56="S",H56*2,IF(AND(H56=0,K56&gt;0),K56,"ERROR"))))))))</f>
        <v>2400</v>
      </c>
      <c r="M56" s="15">
        <v>200</v>
      </c>
      <c r="N56" s="19" t="s">
        <v>42</v>
      </c>
      <c r="O56" s="12">
        <v>1600</v>
      </c>
      <c r="P56" s="12"/>
      <c r="Q56" s="20">
        <f>IF(N56="",0,IF(P56&gt;0,0,IF(N56="A",M56,IF(N56="M",M56*12,IF(N56="W",M56*(Lookups!$B$9),IF(N56="B",M56*(+Lookups!$B$10),IF(N56="S",M56*2,IF(AND(M56=0,P56&gt;0),P56,"ERROR"))))))))</f>
        <v>2400</v>
      </c>
      <c r="R56" s="15">
        <v>200</v>
      </c>
      <c r="S56" s="19" t="s">
        <v>42</v>
      </c>
      <c r="T56" s="12"/>
      <c r="U56" s="20">
        <f>IF(R56="",0,IF(T56&gt;0,0,IF(S56="A",R56,IF(S56="M",R56*12,IF(S56="W",R56*Lookups!B$9,IF(S56="B",R56*+Lookups!B$10,IF(S56="S",R56*2,IF(AND(R56=0,T56&gt;0),T56,"ERROR"))))))))</f>
        <v>2400</v>
      </c>
      <c r="V56" s="130">
        <f>IF(OR(AND(Q56=0,H56=0),P56&gt;0),"",IF(AND(I56="W",N56="W"),ROUND(Q56-(H56*Lookups!$B$9),0),ROUND(+Q56-L56,0)))</f>
        <v>0</v>
      </c>
      <c r="W56" s="75" t="str">
        <f t="shared" si="1"/>
        <v>S</v>
      </c>
      <c r="X56" s="123" t="str">
        <f t="shared" si="4"/>
        <v>N</v>
      </c>
      <c r="Y56" s="123" t="str">
        <f t="shared" si="3"/>
        <v/>
      </c>
      <c r="Z56" s="121"/>
      <c r="AB56" s="53" t="s">
        <v>430</v>
      </c>
      <c r="AC56" s="53" t="s">
        <v>418</v>
      </c>
      <c r="AD56" s="54" t="s">
        <v>395</v>
      </c>
      <c r="AE56" s="55" t="s">
        <v>431</v>
      </c>
    </row>
    <row r="57" spans="1:31" x14ac:dyDescent="0.35">
      <c r="B57" s="21" t="s">
        <v>86</v>
      </c>
      <c r="C57" s="4" t="s">
        <v>252</v>
      </c>
      <c r="D57" s="12">
        <v>200</v>
      </c>
      <c r="E57" s="15"/>
      <c r="F57" s="12">
        <v>200</v>
      </c>
      <c r="G57" s="20">
        <f t="shared" si="6"/>
        <v>200</v>
      </c>
      <c r="H57" s="15"/>
      <c r="I57" s="19"/>
      <c r="J57" s="12">
        <v>300</v>
      </c>
      <c r="K57" s="12"/>
      <c r="L57" s="20">
        <f>IF(I57="",0,IF(K57&gt;0,0,IF(I57="A",H57,IF(I57="M",H57*12,IF(I57="W",H57*(Lookups!$B$9+1),IF(I57="B",H57*(+Lookups!$B$10),IF(I57="S",H57*2,IF(AND(H57=0,K57&gt;0),K57,"ERROR"))))))))</f>
        <v>0</v>
      </c>
      <c r="M57" s="15"/>
      <c r="N57" s="19"/>
      <c r="O57" s="12">
        <v>300</v>
      </c>
      <c r="P57" s="12">
        <v>300</v>
      </c>
      <c r="Q57" s="20">
        <f>IF(N57="",0,IF(P57&gt;0,0,IF(N57="A",M57,IF(N57="M",M57*12,IF(N57="W",M57*(Lookups!$B$9),IF(N57="B",M57*(+Lookups!$B$10),IF(N57="S",M57*2,IF(AND(M57=0,P57&gt;0),P57,"ERROR"))))))))</f>
        <v>0</v>
      </c>
      <c r="R57" s="15"/>
      <c r="S57" s="19"/>
      <c r="T57" s="12">
        <f>+J57/9*12</f>
        <v>400</v>
      </c>
      <c r="U57" s="20">
        <f>IF(R57="",0,IF(T57&gt;0,0,IF(S57="A",R57,IF(S57="M",R57*12,IF(S57="W",R57*Lookups!B$9,IF(S57="B",R57*+Lookups!B$10,IF(S57="S",R57*2,IF(AND(R57=0,T57&gt;0),T57,"ERROR"))))))))</f>
        <v>0</v>
      </c>
      <c r="V57" s="130" t="str">
        <f>IF(OR(AND(Q57=0,H57=0),P57&gt;0),"",IF(AND(I57="W",N57="W"),ROUND(Q57-(H57*Lookups!$B$9),0),ROUND(+Q57-L57,0)))</f>
        <v/>
      </c>
      <c r="W57" s="75" t="str">
        <f t="shared" si="1"/>
        <v>E</v>
      </c>
      <c r="X57" s="123" t="str">
        <f t="shared" si="4"/>
        <v/>
      </c>
      <c r="Y57" s="123" t="str">
        <f t="shared" si="3"/>
        <v>Y</v>
      </c>
      <c r="Z57" s="121"/>
    </row>
    <row r="58" spans="1:31" x14ac:dyDescent="0.35">
      <c r="B58" s="134" t="s">
        <v>88</v>
      </c>
      <c r="C58" s="4" t="s">
        <v>89</v>
      </c>
      <c r="D58" s="12">
        <v>1300</v>
      </c>
      <c r="E58" s="15">
        <v>2340</v>
      </c>
      <c r="F58" s="12">
        <v>1755</v>
      </c>
      <c r="G58" s="20">
        <f t="shared" si="6"/>
        <v>2340</v>
      </c>
      <c r="H58" s="15">
        <v>50</v>
      </c>
      <c r="I58" s="19" t="s">
        <v>41</v>
      </c>
      <c r="J58" s="12">
        <v>1950</v>
      </c>
      <c r="K58" s="12"/>
      <c r="L58" s="20">
        <f>IF(I58="",0,IF(K58&gt;0,0,IF(I58="A",H58,IF(I58="M",H58*12,IF(I58="W",H58*(Lookups!$B$9+1),IF(I58="B",H58*(+Lookups!$B$10),IF(I58="S",H58*2,IF(AND(H58=0,K58&gt;0),K58,"ERROR"))))))))</f>
        <v>2650</v>
      </c>
      <c r="M58" s="15"/>
      <c r="N58" s="19"/>
      <c r="O58" s="12">
        <v>1750</v>
      </c>
      <c r="P58" s="12">
        <v>2600</v>
      </c>
      <c r="Q58" s="20">
        <f>IF(N58="",0,IF(P58&gt;0,0,IF(N58="A",M58,IF(N58="M",M58*12,IF(N58="W",M58*(Lookups!$B$9),IF(N58="B",M58*(+Lookups!$B$10),IF(N58="S",M58*2,IF(AND(M58=0,P58&gt;0),P58,"ERROR"))))))))</f>
        <v>0</v>
      </c>
      <c r="R58" s="15"/>
      <c r="S58" s="19"/>
      <c r="T58" s="12">
        <f>+J58/9*12</f>
        <v>2600</v>
      </c>
      <c r="U58" s="20">
        <f>IF(R58="",0,IF(T58&gt;0,0,IF(S58="A",R58,IF(S58="M",R58*12,IF(S58="W",R58*Lookups!B$9,IF(S58="B",R58*+Lookups!B$10,IF(S58="S",R58*2,IF(AND(R58=0,T58&gt;0),T58,"ERROR"))))))))</f>
        <v>0</v>
      </c>
      <c r="V58" s="130" t="str">
        <f>IF(OR(AND(Q58=0,H58=0),P58&gt;0),"",IF(AND(I58="W",N58="W"),ROUND(Q58-(H58*Lookups!$B$9),0),ROUND(+Q58-L58,0)))</f>
        <v/>
      </c>
      <c r="W58" s="75" t="str">
        <f t="shared" si="1"/>
        <v>E</v>
      </c>
      <c r="X58" s="123" t="str">
        <f t="shared" si="4"/>
        <v/>
      </c>
      <c r="Y58" s="123" t="str">
        <f t="shared" si="3"/>
        <v>Y</v>
      </c>
      <c r="Z58" s="121"/>
    </row>
    <row r="59" spans="1:31" x14ac:dyDescent="0.35">
      <c r="B59" s="21" t="s">
        <v>90</v>
      </c>
      <c r="C59" s="4" t="s">
        <v>91</v>
      </c>
      <c r="D59" s="12">
        <v>1250</v>
      </c>
      <c r="E59" s="15">
        <v>1560</v>
      </c>
      <c r="F59" s="12">
        <v>780</v>
      </c>
      <c r="G59" s="20">
        <f t="shared" si="6"/>
        <v>780</v>
      </c>
      <c r="H59" s="15">
        <v>35</v>
      </c>
      <c r="I59" s="19" t="s">
        <v>41</v>
      </c>
      <c r="J59" s="12">
        <v>945</v>
      </c>
      <c r="K59" s="12"/>
      <c r="L59" s="20">
        <f>IF(I59="",0,IF(K59&gt;0,0,IF(I59="A",H59,IF(I59="M",H59*12,IF(I59="W",H59*(Lookups!$B$9+1),IF(I59="B",H59*(+Lookups!$B$10),IF(I59="S",H59*2,IF(AND(H59=0,K59&gt;0),K59,"ERROR"))))))))</f>
        <v>1855</v>
      </c>
      <c r="M59" s="15">
        <v>40</v>
      </c>
      <c r="N59" s="19" t="s">
        <v>41</v>
      </c>
      <c r="O59" s="12">
        <v>860</v>
      </c>
      <c r="P59" s="12">
        <v>1000</v>
      </c>
      <c r="Q59" s="20">
        <f>IF(N59="",0,IF(P59&gt;0,0,IF(N59="A",M59,IF(N59="M",M59*12,IF(N59="W",M59*(Lookups!$B$9),IF(N59="B",M59*(+Lookups!$B$10),IF(N59="S",M59*2,IF(AND(M59=0,P59&gt;0),P59,"ERROR"))))))))</f>
        <v>0</v>
      </c>
      <c r="R59" s="15">
        <v>40</v>
      </c>
      <c r="S59" s="19" t="s">
        <v>41</v>
      </c>
      <c r="T59" s="12"/>
      <c r="U59" s="20">
        <f>IF(R59="",0,IF(T59&gt;0,0,IF(S59="A",R59,IF(S59="M",R59*12,IF(S59="W",R59*Lookups!B$9,IF(S59="B",R59*+Lookups!B$10,IF(S59="S",R59*2,IF(AND(R59=0,T59&gt;0),T59,"ERROR"))))))))</f>
        <v>2080</v>
      </c>
      <c r="V59" s="130" t="str">
        <f>IF(OR(AND(Q59=0,H59=0),P59&gt;0),"",IF(AND(I59="W",N59="W"),ROUND(Q59-(H59*Lookups!$B$9),0),ROUND(+Q59-L59,0)))</f>
        <v/>
      </c>
      <c r="W59" s="75" t="str">
        <f t="shared" si="1"/>
        <v>E</v>
      </c>
      <c r="X59" s="123" t="str">
        <f t="shared" si="4"/>
        <v/>
      </c>
      <c r="Y59" s="123" t="str">
        <f t="shared" si="3"/>
        <v>Y</v>
      </c>
      <c r="Z59" s="121"/>
      <c r="AB59" s="53" t="s">
        <v>432</v>
      </c>
      <c r="AC59" s="53" t="s">
        <v>394</v>
      </c>
      <c r="AD59" s="54" t="s">
        <v>395</v>
      </c>
      <c r="AE59" s="55">
        <v>53406</v>
      </c>
    </row>
    <row r="60" spans="1:31" x14ac:dyDescent="0.35">
      <c r="B60" s="21" t="s">
        <v>92</v>
      </c>
      <c r="C60" s="4" t="s">
        <v>519</v>
      </c>
      <c r="D60" s="12">
        <v>3000</v>
      </c>
      <c r="E60" s="15">
        <v>2400</v>
      </c>
      <c r="F60" s="12">
        <v>3743.75</v>
      </c>
      <c r="G60" s="20">
        <f t="shared" si="6"/>
        <v>3743.75</v>
      </c>
      <c r="H60" s="15">
        <v>3000</v>
      </c>
      <c r="I60" s="19" t="s">
        <v>38</v>
      </c>
      <c r="J60" s="12">
        <v>5231.25</v>
      </c>
      <c r="K60" s="12"/>
      <c r="L60" s="20">
        <f>IF(I60="",0,IF(K60&gt;0,0,IF(I60="A",H60,IF(I60="M",H60*12,IF(I60="W",H60*(Lookups!$B$9+1),IF(I60="B",H60*(+Lookups!$B$10),IF(I60="S",H60*2,IF(AND(H60=0,K60&gt;0),K60,"ERROR"))))))))</f>
        <v>3000</v>
      </c>
      <c r="M60" s="15">
        <v>5000</v>
      </c>
      <c r="N60" s="19" t="s">
        <v>38</v>
      </c>
      <c r="O60" s="12">
        <v>4750</v>
      </c>
      <c r="P60" s="12"/>
      <c r="Q60" s="20">
        <f>IF(N60="",0,IF(P60&gt;0,0,IF(N60="A",M60,IF(N60="M",M60*12,IF(N60="W",M60*(Lookups!$B$9),IF(N60="B",M60*(+Lookups!$B$10),IF(N60="S",M60*2,IF(AND(M60=0,P60&gt;0),P60,"ERROR"))))))))</f>
        <v>5000</v>
      </c>
      <c r="R60" s="15">
        <v>5000</v>
      </c>
      <c r="S60" s="19" t="s">
        <v>38</v>
      </c>
      <c r="T60" s="12"/>
      <c r="U60" s="20">
        <f>IF(R60="",0,IF(T60&gt;0,0,IF(S60="A",R60,IF(S60="M",R60*12,IF(S60="W",R60*Lookups!B$9,IF(S60="B",R60*+Lookups!B$10,IF(S60="S",R60*2,IF(AND(R60=0,T60&gt;0),T60,"ERROR"))))))))</f>
        <v>5000</v>
      </c>
      <c r="V60" s="130">
        <f>IF(OR(AND(Q60=0,H60=0),P60&gt;0),"",IF(AND(I60="W",N60="W"),ROUND(Q60-(H60*Lookups!$B$9),0),ROUND(+Q60-L60,0)))</f>
        <v>2000</v>
      </c>
      <c r="W60" s="75" t="str">
        <f t="shared" si="1"/>
        <v>I</v>
      </c>
      <c r="X60" s="123" t="str">
        <f t="shared" si="4"/>
        <v>N</v>
      </c>
      <c r="Y60" s="123" t="str">
        <f t="shared" si="3"/>
        <v/>
      </c>
      <c r="Z60" s="121"/>
      <c r="AA60" s="52" t="s">
        <v>433</v>
      </c>
      <c r="AB60" s="53" t="s">
        <v>434</v>
      </c>
      <c r="AC60" s="53" t="s">
        <v>418</v>
      </c>
      <c r="AD60" s="54" t="s">
        <v>395</v>
      </c>
      <c r="AE60" s="55">
        <v>53402</v>
      </c>
    </row>
    <row r="61" spans="1:31" x14ac:dyDescent="0.35">
      <c r="B61" s="21" t="s">
        <v>93</v>
      </c>
      <c r="C61" s="4" t="s">
        <v>94</v>
      </c>
      <c r="D61" s="12">
        <v>260</v>
      </c>
      <c r="E61" s="15">
        <v>260</v>
      </c>
      <c r="F61" s="12">
        <v>200</v>
      </c>
      <c r="G61" s="20">
        <f t="shared" si="6"/>
        <v>260</v>
      </c>
      <c r="H61" s="15">
        <v>5</v>
      </c>
      <c r="I61" s="19" t="s">
        <v>41</v>
      </c>
      <c r="J61" s="12">
        <v>195</v>
      </c>
      <c r="K61" s="12"/>
      <c r="L61" s="20">
        <f>IF(I61="",0,IF(K61&gt;0,0,IF(I61="A",H61,IF(I61="M",H61*12,IF(I61="W",H61*(Lookups!$B$9+1),IF(I61="B",H61*(+Lookups!$B$10),IF(I61="S",H61*2,IF(AND(H61=0,K61&gt;0),K61,"ERROR"))))))))</f>
        <v>265</v>
      </c>
      <c r="M61" s="15"/>
      <c r="N61" s="19"/>
      <c r="O61" s="12">
        <v>170</v>
      </c>
      <c r="P61" s="12">
        <v>250</v>
      </c>
      <c r="Q61" s="20">
        <f>IF(N61="",0,IF(P61&gt;0,0,IF(N61="A",M61,IF(N61="M",M61*12,IF(N61="W",M61*(Lookups!$B$9),IF(N61="B",M61*(+Lookups!$B$10),IF(N61="S",M61*2,IF(AND(M61=0,P61&gt;0),P61,"ERROR"))))))))</f>
        <v>0</v>
      </c>
      <c r="R61" s="15"/>
      <c r="S61" s="19"/>
      <c r="T61" s="12">
        <f>+J61/9*12</f>
        <v>260</v>
      </c>
      <c r="U61" s="20">
        <f>IF(R61="",0,IF(T61&gt;0,0,IF(S61="A",R61,IF(S61="M",R61*12,IF(S61="W",R61*Lookups!B$9,IF(S61="B",R61*+Lookups!B$10,IF(S61="S",R61*2,IF(AND(R61=0,T61&gt;0),T61,"ERROR"))))))))</f>
        <v>0</v>
      </c>
      <c r="V61" s="130" t="str">
        <f>IF(OR(AND(Q61=0,H61=0),P61&gt;0),"",IF(AND(I61="W",N61="W"),ROUND(Q61-(H61*Lookups!$B$9),0),ROUND(+Q61-L61,0)))</f>
        <v/>
      </c>
      <c r="W61" s="75" t="str">
        <f t="shared" si="1"/>
        <v>E</v>
      </c>
      <c r="X61" s="123" t="str">
        <f t="shared" si="4"/>
        <v/>
      </c>
      <c r="Y61" s="123" t="str">
        <f t="shared" si="3"/>
        <v>Y</v>
      </c>
      <c r="Z61" s="121"/>
      <c r="AA61" s="52" t="s">
        <v>435</v>
      </c>
      <c r="AB61" s="53" t="s">
        <v>436</v>
      </c>
      <c r="AC61" s="53" t="s">
        <v>418</v>
      </c>
      <c r="AD61" s="54" t="s">
        <v>395</v>
      </c>
      <c r="AE61" s="55">
        <v>53402</v>
      </c>
    </row>
    <row r="62" spans="1:31" x14ac:dyDescent="0.35">
      <c r="B62" s="21" t="s">
        <v>253</v>
      </c>
      <c r="C62" s="4" t="s">
        <v>254</v>
      </c>
      <c r="D62" s="12">
        <v>45</v>
      </c>
      <c r="E62" s="15"/>
      <c r="F62" s="12">
        <v>35</v>
      </c>
      <c r="G62" s="20">
        <f t="shared" si="6"/>
        <v>35</v>
      </c>
      <c r="H62" s="15"/>
      <c r="I62" s="19"/>
      <c r="J62" s="12">
        <v>40</v>
      </c>
      <c r="K62" s="12"/>
      <c r="L62" s="20">
        <f>IF(I62="",0,IF(K62&gt;0,0,IF(I62="A",H62,IF(I62="M",H62*12,IF(I62="W",H62*(Lookups!$B$9+1),IF(I62="B",H62*(+Lookups!$B$10),IF(I62="S",H62*2,IF(AND(H62=0,K62&gt;0),K62,"ERROR"))))))))</f>
        <v>0</v>
      </c>
      <c r="M62" s="15"/>
      <c r="N62" s="19"/>
      <c r="O62" s="12">
        <v>65</v>
      </c>
      <c r="P62" s="12">
        <v>65</v>
      </c>
      <c r="Q62" s="20">
        <f>IF(N62="",0,IF(P62&gt;0,0,IF(N62="A",M62,IF(N62="M",M62*12,IF(N62="W",M62*(Lookups!$B$9),IF(N62="B",M62*(+Lookups!$B$10),IF(N62="S",M62*2,IF(AND(M62=0,P62&gt;0),P62,"ERROR"))))))))</f>
        <v>0</v>
      </c>
      <c r="R62" s="15"/>
      <c r="S62" s="19"/>
      <c r="T62" s="12"/>
      <c r="U62" s="20">
        <f>IF(R62="",0,IF(T62&gt;0,0,IF(S62="A",R62,IF(S62="M",R62*12,IF(S62="W",R62*Lookups!B$9,IF(S62="B",R62*+Lookups!B$10,IF(S62="S",R62*2,IF(AND(R62=0,T62&gt;0),T62,"ERROR"))))))))</f>
        <v>0</v>
      </c>
      <c r="V62" s="130" t="str">
        <f>IF(OR(AND(Q62=0,H62=0),P62&gt;0),"",IF(AND(I62="W",N62="W"),ROUND(Q62-(H62*Lookups!$B$9),0),ROUND(+Q62-L62,0)))</f>
        <v/>
      </c>
      <c r="W62" s="75" t="str">
        <f t="shared" si="1"/>
        <v>E</v>
      </c>
      <c r="X62" s="123" t="str">
        <f t="shared" si="4"/>
        <v/>
      </c>
      <c r="Y62" s="123" t="str">
        <f t="shared" si="3"/>
        <v>Y</v>
      </c>
      <c r="Z62" s="121"/>
    </row>
    <row r="63" spans="1:31" x14ac:dyDescent="0.35">
      <c r="B63" s="134" t="s">
        <v>95</v>
      </c>
      <c r="C63" s="4" t="s">
        <v>359</v>
      </c>
      <c r="D63" s="12">
        <v>3000</v>
      </c>
      <c r="E63" s="15">
        <v>3600</v>
      </c>
      <c r="F63" s="12">
        <v>2700</v>
      </c>
      <c r="G63" s="20">
        <f t="shared" si="6"/>
        <v>3600</v>
      </c>
      <c r="H63" s="15"/>
      <c r="I63" s="19" t="s">
        <v>42</v>
      </c>
      <c r="J63" s="12">
        <v>2700</v>
      </c>
      <c r="K63" s="12">
        <v>3600</v>
      </c>
      <c r="L63" s="20">
        <f>IF(I63="",0,IF(K63&gt;0,0,IF(I63="A",H63,IF(I63="M",H63*12,IF(I63="W",H63*(Lookups!$B$9+1),IF(I63="B",H63*(+Lookups!$B$10),IF(I63="S",H63*2,IF(AND(H63=0,K63&gt;0),K63,"ERROR"))))))))</f>
        <v>0</v>
      </c>
      <c r="M63" s="15">
        <v>2400</v>
      </c>
      <c r="N63" s="19" t="s">
        <v>38</v>
      </c>
      <c r="O63" s="12">
        <v>1400</v>
      </c>
      <c r="P63" s="12"/>
      <c r="Q63" s="20">
        <f>IF(N63="",0,IF(P63&gt;0,0,IF(N63="A",M63,IF(N63="M",M63*12,IF(N63="W",M63*(Lookups!$B$9),IF(N63="B",M63*(+Lookups!$B$10),IF(N63="S",M63*2,IF(AND(M63=0,P63&gt;0),P63,"ERROR"))))))))</f>
        <v>2400</v>
      </c>
      <c r="R63" s="15"/>
      <c r="S63" s="19"/>
      <c r="T63" s="12">
        <f>300*12</f>
        <v>3600</v>
      </c>
      <c r="U63" s="20">
        <f>IF(R63="",0,IF(T63&gt;0,0,IF(S63="A",R63,IF(S63="M",R63*12,IF(S63="W",R63*Lookups!B$9,IF(S63="B",R63*+Lookups!B$10,IF(S63="S",R63*2,IF(AND(R63=0,T63&gt;0),T63,"ERROR"))))))))</f>
        <v>0</v>
      </c>
      <c r="V63" s="130">
        <f>IF(OR(AND(Q63=0,H63=0),P63&gt;0),"",IF(AND(I63="W",N63="W"),ROUND(Q63-(H63*Lookups!$B$9),0),ROUND(+Q63-L63,0)))</f>
        <v>2400</v>
      </c>
      <c r="W63" s="75" t="str">
        <f t="shared" si="1"/>
        <v>N</v>
      </c>
      <c r="X63" s="123" t="str">
        <f t="shared" si="4"/>
        <v>N</v>
      </c>
      <c r="Y63" s="123" t="str">
        <f t="shared" si="3"/>
        <v/>
      </c>
      <c r="Z63" s="121"/>
    </row>
    <row r="64" spans="1:31" x14ac:dyDescent="0.35">
      <c r="B64" s="21" t="s">
        <v>255</v>
      </c>
      <c r="C64" s="4" t="s">
        <v>256</v>
      </c>
      <c r="D64" s="12">
        <v>300</v>
      </c>
      <c r="E64" s="15"/>
      <c r="F64" s="12">
        <v>225</v>
      </c>
      <c r="G64" s="20">
        <f t="shared" si="6"/>
        <v>225</v>
      </c>
      <c r="H64" s="15"/>
      <c r="I64" s="19"/>
      <c r="J64" s="12">
        <v>225</v>
      </c>
      <c r="K64" s="12">
        <v>300</v>
      </c>
      <c r="L64" s="20">
        <f>IF(I64="",0,IF(K64&gt;0,0,IF(I64="A",H64,IF(I64="M",H64*12,IF(I64="W",H64*(Lookups!$B$9+1),IF(I64="B",H64*(+Lookups!$B$10),IF(I64="S",H64*2,IF(AND(H64=0,K64&gt;0),K64,"ERROR"))))))))</f>
        <v>0</v>
      </c>
      <c r="M64" s="15"/>
      <c r="N64" s="19"/>
      <c r="O64" s="12">
        <v>200</v>
      </c>
      <c r="P64" s="12">
        <v>300</v>
      </c>
      <c r="Q64" s="20">
        <f>IF(N64="",0,IF(P64&gt;0,0,IF(N64="A",M64,IF(N64="M",M64*12,IF(N64="W",M64*(Lookups!$B$9),IF(N64="B",M64*(+Lookups!$B$10),IF(N64="S",M64*2,IF(AND(M64=0,P64&gt;0),P64,"ERROR"))))))))</f>
        <v>0</v>
      </c>
      <c r="R64" s="15"/>
      <c r="S64" s="19"/>
      <c r="T64" s="12">
        <f>25*12</f>
        <v>300</v>
      </c>
      <c r="U64" s="20">
        <f>IF(R64="",0,IF(T64&gt;0,0,IF(S64="A",R64,IF(S64="M",R64*12,IF(S64="W",R64*Lookups!B$9,IF(S64="B",R64*+Lookups!B$10,IF(S64="S",R64*2,IF(AND(R64=0,T64&gt;0),T64,"ERROR"))))))))</f>
        <v>0</v>
      </c>
      <c r="V64" s="130" t="str">
        <f>IF(OR(AND(Q64=0,H64=0),P64&gt;0),"",IF(AND(I64="W",N64="W"),ROUND(Q64-(H64*Lookups!$B$9),0),ROUND(+Q64-L64,0)))</f>
        <v/>
      </c>
      <c r="W64" s="75" t="str">
        <f t="shared" si="1"/>
        <v>E</v>
      </c>
      <c r="X64" s="123" t="str">
        <f t="shared" si="4"/>
        <v/>
      </c>
      <c r="Y64" s="123" t="str">
        <f t="shared" si="3"/>
        <v>Y</v>
      </c>
      <c r="Z64" s="121"/>
    </row>
    <row r="65" spans="1:31" ht="14" customHeight="1" x14ac:dyDescent="0.35">
      <c r="A65" s="139" t="s">
        <v>638</v>
      </c>
      <c r="B65" s="21" t="s">
        <v>257</v>
      </c>
      <c r="C65" s="4" t="s">
        <v>258</v>
      </c>
      <c r="D65" s="12">
        <v>20</v>
      </c>
      <c r="E65" s="15"/>
      <c r="F65" s="12"/>
      <c r="G65" s="20">
        <f t="shared" si="6"/>
        <v>0</v>
      </c>
      <c r="H65" s="15"/>
      <c r="I65" s="19"/>
      <c r="J65" s="12"/>
      <c r="K65" s="12"/>
      <c r="L65" s="20">
        <f>IF(I65="",0,IF(K65&gt;0,0,IF(I65="A",H65,IF(I65="M",H65*12,IF(I65="W",H65*(Lookups!$B$9+1),IF(I65="B",H65*(+Lookups!$B$10),IF(I65="S",H65*2,IF(AND(H65=0,K65&gt;0),K65,"ERROR"))))))))</f>
        <v>0</v>
      </c>
      <c r="M65" s="15"/>
      <c r="N65" s="19"/>
      <c r="O65" s="12">
        <v>0</v>
      </c>
      <c r="P65" s="12"/>
      <c r="Q65" s="20">
        <f>IF(N65="",0,IF(P65&gt;0,0,IF(N65="A",M65,IF(N65="M",M65*12,IF(N65="W",M65*(Lookups!$B$9),IF(N65="B",M65*(+Lookups!$B$10),IF(N65="S",M65*2,IF(AND(M65=0,P65&gt;0),P65,"ERROR"))))))))</f>
        <v>0</v>
      </c>
      <c r="R65" s="15"/>
      <c r="S65" s="19"/>
      <c r="T65" s="12"/>
      <c r="U65" s="20">
        <f>IF(R65="",0,IF(T65&gt;0,0,IF(S65="A",R65,IF(S65="M",R65*12,IF(S65="W",R65*Lookups!B$9,IF(S65="B",R65*+Lookups!B$10,IF(S65="S",R65*2,IF(AND(R65=0,T65&gt;0),T65,"ERROR"))))))))</f>
        <v>0</v>
      </c>
      <c r="V65" s="130" t="str">
        <f>IF(OR(AND(Q65=0,H65=0),P65&gt;0),"",IF(AND(I65="W",N65="W"),ROUND(Q65-(H65*Lookups!$B$9),0),ROUND(+Q65-L65,0)))</f>
        <v/>
      </c>
      <c r="W65" s="75" t="str">
        <f t="shared" si="1"/>
        <v/>
      </c>
      <c r="X65" s="123" t="str">
        <f t="shared" si="4"/>
        <v/>
      </c>
      <c r="Y65" s="123" t="str">
        <f t="shared" si="3"/>
        <v/>
      </c>
      <c r="Z65" s="121"/>
    </row>
    <row r="66" spans="1:31" ht="14" customHeight="1" x14ac:dyDescent="0.35">
      <c r="B66" s="21" t="s">
        <v>618</v>
      </c>
      <c r="C66" s="4" t="s">
        <v>619</v>
      </c>
      <c r="D66" s="12"/>
      <c r="E66" s="15"/>
      <c r="F66" s="12"/>
      <c r="G66" s="20">
        <f t="shared" si="6"/>
        <v>0</v>
      </c>
      <c r="H66" s="15"/>
      <c r="I66" s="19"/>
      <c r="J66" s="12">
        <v>25</v>
      </c>
      <c r="K66" s="12"/>
      <c r="L66" s="20">
        <f>IF(I66="",0,IF(K66&gt;0,0,IF(I66="A",H66,IF(I66="M",H66*12,IF(I66="W",H66*(Lookups!$B$9+1),IF(I66="B",H66*(+Lookups!$B$10),IF(I66="S",H66*2,IF(AND(H66=0,K66&gt;0),K66,"ERROR"))))))))</f>
        <v>0</v>
      </c>
      <c r="M66" s="15"/>
      <c r="N66" s="19"/>
      <c r="O66" s="12">
        <v>300</v>
      </c>
      <c r="P66" s="12">
        <v>300</v>
      </c>
      <c r="Q66" s="20">
        <f>IF(N66="",0,IF(P66&gt;0,0,IF(N66="A",M66,IF(N66="M",M66*12,IF(N66="W",M66*(Lookups!$B$9),IF(N66="B",M66*(+Lookups!$B$10),IF(N66="S",M66*2,IF(AND(M66=0,P66&gt;0),P66,"ERROR"))))))))</f>
        <v>0</v>
      </c>
      <c r="R66" s="15"/>
      <c r="S66" s="19"/>
      <c r="T66" s="12"/>
      <c r="U66" s="20">
        <f>IF(R66="",0,IF(T66&gt;0,0,IF(S66="A",R66,IF(S66="M",R66*12,IF(S66="W",R66*Lookups!B$9,IF(S66="B",R66*+Lookups!B$10,IF(S66="S",R66*2,IF(AND(R66=0,T66&gt;0),T66,"ERROR"))))))))</f>
        <v>0</v>
      </c>
      <c r="V66" s="130" t="str">
        <f>IF(OR(AND(Q66=0,H66=0),P66&gt;0),"",IF(AND(I66="W",N66="W"),ROUND(Q66-(H66*Lookups!$B$9),0),ROUND(+Q66-L66,0)))</f>
        <v/>
      </c>
      <c r="W66" s="75" t="str">
        <f t="shared" si="1"/>
        <v>E</v>
      </c>
      <c r="X66" s="123" t="str">
        <f t="shared" si="4"/>
        <v/>
      </c>
      <c r="Y66" s="123" t="str">
        <f t="shared" si="3"/>
        <v>Y</v>
      </c>
      <c r="Z66" s="121"/>
    </row>
    <row r="67" spans="1:31" x14ac:dyDescent="0.35">
      <c r="B67" s="21" t="s">
        <v>366</v>
      </c>
      <c r="C67" s="4" t="s">
        <v>367</v>
      </c>
      <c r="D67" s="12"/>
      <c r="E67" s="15"/>
      <c r="F67" s="12">
        <v>625</v>
      </c>
      <c r="G67" s="20">
        <f t="shared" si="6"/>
        <v>625</v>
      </c>
      <c r="H67" s="15"/>
      <c r="I67" s="19"/>
      <c r="J67" s="12">
        <v>525</v>
      </c>
      <c r="K67" s="12">
        <v>800</v>
      </c>
      <c r="L67" s="20">
        <f>IF(I67="",0,IF(K67&gt;0,0,IF(I67="A",H67,IF(I67="M",H67*12,IF(I67="W",H67*(Lookups!$B$9+1),IF(I67="B",H67*(+Lookups!$B$10),IF(I67="S",H67*2,IF(AND(H67=0,K67&gt;0),K67,"ERROR"))))))))</f>
        <v>0</v>
      </c>
      <c r="M67" s="15">
        <v>1000</v>
      </c>
      <c r="N67" s="19" t="s">
        <v>38</v>
      </c>
      <c r="O67" s="12">
        <v>420</v>
      </c>
      <c r="P67" s="12">
        <v>500</v>
      </c>
      <c r="Q67" s="20">
        <f>IF(N67="",0,IF(P67&gt;0,0,IF(N67="A",M67,IF(N67="M",M67*12,IF(N67="W",M67*(Lookups!$B$9),IF(N67="B",M67*(+Lookups!$B$10),IF(N67="S",M67*2,IF(AND(M67=0,P67&gt;0),P67,"ERROR"))))))))</f>
        <v>0</v>
      </c>
      <c r="R67" s="15"/>
      <c r="S67" s="19"/>
      <c r="T67" s="12">
        <v>500</v>
      </c>
      <c r="U67" s="20">
        <f>IF(R67="",0,IF(T67&gt;0,0,IF(S67="A",R67,IF(S67="M",R67*12,IF(S67="W",R67*Lookups!B$9,IF(S67="B",R67*+Lookups!B$10,IF(S67="S",R67*2,IF(AND(R67=0,T67&gt;0),T67,"ERROR"))))))))</f>
        <v>0</v>
      </c>
      <c r="V67" s="130" t="str">
        <f>IF(OR(AND(Q67=0,H67=0),P67&gt;0),"",IF(AND(I67="W",N67="W"),ROUND(Q67-(H67*Lookups!$B$9),0),ROUND(+Q67-L67,0)))</f>
        <v/>
      </c>
      <c r="W67" s="75" t="str">
        <f t="shared" si="1"/>
        <v>E</v>
      </c>
      <c r="X67" s="123" t="str">
        <f t="shared" si="4"/>
        <v/>
      </c>
      <c r="Y67" s="123" t="str">
        <f t="shared" si="3"/>
        <v>Y</v>
      </c>
      <c r="Z67" s="121"/>
    </row>
    <row r="68" spans="1:31" x14ac:dyDescent="0.35">
      <c r="B68" s="21" t="s">
        <v>96</v>
      </c>
      <c r="C68" s="4" t="s">
        <v>97</v>
      </c>
      <c r="D68" s="12">
        <v>7200</v>
      </c>
      <c r="E68" s="15">
        <v>7200</v>
      </c>
      <c r="F68" s="12">
        <v>5400</v>
      </c>
      <c r="G68" s="20">
        <f t="shared" ref="G68:G98" si="7">IF(E68=0,F68,IF(AND(F68=0,J68="A"),E68,IF(F68&gt;E68,F68, IF(F68/E68&gt;0.73,E68,F68))))</f>
        <v>7200</v>
      </c>
      <c r="H68" s="15">
        <v>600</v>
      </c>
      <c r="I68" s="19" t="s">
        <v>42</v>
      </c>
      <c r="J68" s="12">
        <v>5400</v>
      </c>
      <c r="K68" s="12"/>
      <c r="L68" s="20">
        <f>IF(I68="",0,IF(K68&gt;0,0,IF(I68="A",H68,IF(I68="M",H68*12,IF(I68="W",H68*(Lookups!$B$9+1),IF(I68="B",H68*(+Lookups!$B$10),IF(I68="S",H68*2,IF(AND(H68=0,K68&gt;0),K68,"ERROR"))))))))</f>
        <v>7200</v>
      </c>
      <c r="M68" s="15">
        <v>600</v>
      </c>
      <c r="N68" s="19" t="s">
        <v>42</v>
      </c>
      <c r="O68" s="12">
        <v>5800</v>
      </c>
      <c r="P68" s="12"/>
      <c r="Q68" s="20">
        <f>IF(N68="",0,IF(P68&gt;0,0,IF(N68="A",M68,IF(N68="M",M68*12,IF(N68="W",M68*(Lookups!$B$9),IF(N68="B",M68*(+Lookups!$B$10),IF(N68="S",M68*2,IF(AND(M68=0,P68&gt;0),P68,"ERROR"))))))))</f>
        <v>7200</v>
      </c>
      <c r="R68" s="15">
        <v>600</v>
      </c>
      <c r="S68" s="19" t="s">
        <v>42</v>
      </c>
      <c r="T68" s="12"/>
      <c r="U68" s="20">
        <f>IF(R68="",0,IF(T68&gt;0,0,IF(S68="A",R68,IF(S68="M",R68*12,IF(S68="W",R68*Lookups!B$9,IF(S68="B",R68*+Lookups!B$10,IF(S68="S",R68*2,IF(AND(R68=0,T68&gt;0),T68,"ERROR"))))))))</f>
        <v>7200</v>
      </c>
      <c r="V68" s="130">
        <f>IF(OR(AND(Q68=0,H68=0),P68&gt;0),"",IF(AND(I68="W",N68="W"),ROUND(Q68-(H68*Lookups!$B$9),0),ROUND(+Q68-L68,0)))</f>
        <v>0</v>
      </c>
      <c r="W68" s="75" t="str">
        <f t="shared" si="1"/>
        <v>S</v>
      </c>
      <c r="X68" s="123" t="str">
        <f t="shared" si="4"/>
        <v>N</v>
      </c>
      <c r="Y68" s="123" t="str">
        <f t="shared" si="3"/>
        <v/>
      </c>
      <c r="Z68" s="121"/>
      <c r="AA68" s="52" t="s">
        <v>543</v>
      </c>
      <c r="AB68" s="53" t="s">
        <v>544</v>
      </c>
      <c r="AC68" s="53" t="s">
        <v>418</v>
      </c>
      <c r="AD68" s="54" t="s">
        <v>395</v>
      </c>
      <c r="AE68" s="55">
        <v>53406</v>
      </c>
    </row>
    <row r="69" spans="1:31" x14ac:dyDescent="0.35">
      <c r="B69" s="134" t="s">
        <v>98</v>
      </c>
      <c r="C69" s="4" t="s">
        <v>99</v>
      </c>
      <c r="D69" s="12">
        <v>280</v>
      </c>
      <c r="E69" s="15">
        <v>1040</v>
      </c>
      <c r="F69" s="12">
        <v>780</v>
      </c>
      <c r="G69" s="20">
        <f t="shared" si="7"/>
        <v>1040</v>
      </c>
      <c r="H69" s="15">
        <v>25</v>
      </c>
      <c r="I69" s="19" t="s">
        <v>41</v>
      </c>
      <c r="J69" s="12">
        <v>975</v>
      </c>
      <c r="K69" s="12"/>
      <c r="L69" s="20">
        <f>IF(I69="",0,IF(K69&gt;0,0,IF(I69="A",H69,IF(I69="M",H69*12,IF(I69="W",H69*(Lookups!$B$9+1),IF(I69="B",H69*(+Lookups!$B$10),IF(I69="S",H69*2,IF(AND(H69=0,K69&gt;0),K69,"ERROR"))))))))</f>
        <v>1325</v>
      </c>
      <c r="M69" s="15"/>
      <c r="N69" s="19"/>
      <c r="O69" s="12">
        <v>875</v>
      </c>
      <c r="P69" s="12">
        <v>1200</v>
      </c>
      <c r="Q69" s="20">
        <f>IF(N69="",0,IF(P69&gt;0,0,IF(N69="A",M69,IF(N69="M",M69*12,IF(N69="W",M69*(Lookups!$B$9),IF(N69="B",M69*(+Lookups!$B$10),IF(N69="S",M69*2,IF(AND(M69=0,P69&gt;0),P69,"ERROR"))))))))</f>
        <v>0</v>
      </c>
      <c r="R69" s="15"/>
      <c r="S69" s="19"/>
      <c r="T69" s="12">
        <f>108.333333333333*12</f>
        <v>1299.9999999999959</v>
      </c>
      <c r="U69" s="20">
        <f>IF(R69="",0,IF(T69&gt;0,0,IF(S69="A",R69,IF(S69="M",R69*12,IF(S69="W",R69*Lookups!B$9,IF(S69="B",R69*+Lookups!B$10,IF(S69="S",R69*2,IF(AND(R69=0,T69&gt;0),T69,"ERROR"))))))))</f>
        <v>0</v>
      </c>
      <c r="V69" s="130" t="str">
        <f>IF(OR(AND(Q69=0,H69=0),P69&gt;0),"",IF(AND(I69="W",N69="W"),ROUND(Q69-(H69*Lookups!$B$9),0),ROUND(+Q69-L69,0)))</f>
        <v/>
      </c>
      <c r="W69" s="75" t="str">
        <f t="shared" ref="W69:W132" si="8">IF(P69&gt;0,"E",IF(V69="","",IF(V69=0,"S",IF(AND(V69&gt;0,NOT(H69=0)),"I",IF(AND(V69&gt;0,H69=0),"N",IF(V69&lt;0,"D","ERROR"))))))</f>
        <v>E</v>
      </c>
      <c r="X69" s="123" t="str">
        <f t="shared" si="4"/>
        <v/>
      </c>
      <c r="Y69" s="123" t="str">
        <f t="shared" ref="Y69:Y132" si="9">IF(AND(P69&gt;0,W69="E"),"Y",IF(AND(OR(P69&lt;0,P69=0),W69="E"),"P",""))</f>
        <v>Y</v>
      </c>
      <c r="Z69" s="121"/>
      <c r="AA69" s="52" t="s">
        <v>437</v>
      </c>
      <c r="AB69" s="53" t="s">
        <v>438</v>
      </c>
      <c r="AC69" s="53" t="s">
        <v>418</v>
      </c>
      <c r="AD69" s="54" t="s">
        <v>395</v>
      </c>
      <c r="AE69" s="55">
        <v>53403</v>
      </c>
    </row>
    <row r="70" spans="1:31" x14ac:dyDescent="0.35">
      <c r="B70" s="134" t="s">
        <v>621</v>
      </c>
      <c r="C70" s="4" t="s">
        <v>642</v>
      </c>
      <c r="D70" s="12"/>
      <c r="E70" s="15"/>
      <c r="F70" s="12"/>
      <c r="G70" s="20">
        <f t="shared" si="7"/>
        <v>0</v>
      </c>
      <c r="H70" s="15"/>
      <c r="I70" s="19"/>
      <c r="J70" s="12">
        <v>590</v>
      </c>
      <c r="K70" s="12"/>
      <c r="L70" s="20">
        <f>IF(I70="",0,IF(K70&gt;0,0,IF(I70="A",H70,IF(I70="M",H70*12,IF(I70="W",H70*(Lookups!$B$9+1),IF(I70="B",H70*(+Lookups!$B$10),IF(I70="S",H70*2,IF(AND(H70=0,K70&gt;0),K70,"ERROR"))))))))</f>
        <v>0</v>
      </c>
      <c r="M70" s="15"/>
      <c r="N70" s="19"/>
      <c r="O70" s="12">
        <v>640</v>
      </c>
      <c r="P70" s="12">
        <v>900</v>
      </c>
      <c r="Q70" s="20">
        <f>IF(N70="",0,IF(P70&gt;0,0,IF(N70="A",M70,IF(N70="M",M70*12,IF(N70="W",M70*(Lookups!$B$9),IF(N70="B",M70*(+Lookups!$B$10),IF(N70="S",M70*2,IF(AND(M70=0,P70&gt;0),P70,"ERROR"))))))))</f>
        <v>0</v>
      </c>
      <c r="R70" s="15"/>
      <c r="S70" s="19"/>
      <c r="T70" s="12">
        <v>750</v>
      </c>
      <c r="U70" s="20">
        <f>IF(R70="",0,IF(T70&gt;0,0,IF(S70="A",R70,IF(S70="M",R70*12,IF(S70="W",R70*Lookups!B$9,IF(S70="B",R70*+Lookups!B$10,IF(S70="S",R70*2,IF(AND(R70=0,T70&gt;0),T70,"ERROR"))))))))</f>
        <v>0</v>
      </c>
      <c r="V70" s="130" t="str">
        <f>IF(OR(AND(Q70=0,H70=0),P70&gt;0),"",IF(AND(I70="W",N70="W"),ROUND(Q70-(H70*Lookups!$B$9),0),ROUND(+Q70-L70,0)))</f>
        <v/>
      </c>
      <c r="W70" s="75" t="str">
        <f t="shared" si="8"/>
        <v>E</v>
      </c>
      <c r="X70" s="123" t="str">
        <f t="shared" si="4"/>
        <v/>
      </c>
      <c r="Y70" s="123" t="str">
        <f t="shared" si="9"/>
        <v>Y</v>
      </c>
      <c r="Z70" s="121"/>
      <c r="AA70" s="52" t="s">
        <v>437</v>
      </c>
      <c r="AB70" s="53" t="s">
        <v>620</v>
      </c>
      <c r="AC70" s="53" t="s">
        <v>418</v>
      </c>
      <c r="AD70" s="54" t="s">
        <v>395</v>
      </c>
      <c r="AE70" s="55">
        <v>53404</v>
      </c>
    </row>
    <row r="71" spans="1:31" x14ac:dyDescent="0.35">
      <c r="B71" s="21" t="s">
        <v>100</v>
      </c>
      <c r="C71" s="4" t="s">
        <v>19</v>
      </c>
      <c r="D71" s="12">
        <v>670</v>
      </c>
      <c r="E71" s="15">
        <v>720</v>
      </c>
      <c r="F71" s="12">
        <v>540</v>
      </c>
      <c r="G71" s="20">
        <f t="shared" si="7"/>
        <v>720</v>
      </c>
      <c r="H71" s="15">
        <v>65</v>
      </c>
      <c r="I71" s="19" t="s">
        <v>42</v>
      </c>
      <c r="J71" s="12">
        <v>585</v>
      </c>
      <c r="K71" s="12"/>
      <c r="L71" s="20">
        <f>IF(I71="",0,IF(K71&gt;0,0,IF(I71="A",H71,IF(I71="M",H71*12,IF(I71="W",H71*(Lookups!$B$9+1),IF(I71="B",H71*(+Lookups!$B$10),IF(I71="S",H71*2,IF(AND(H71=0,K71&gt;0),K71,"ERROR"))))))))</f>
        <v>780</v>
      </c>
      <c r="M71" s="15">
        <v>70</v>
      </c>
      <c r="N71" s="19" t="s">
        <v>42</v>
      </c>
      <c r="O71" s="12">
        <v>0</v>
      </c>
      <c r="P71" s="12"/>
      <c r="Q71" s="20">
        <f>IF(N71="",0,IF(P71&gt;0,0,IF(N71="A",M71,IF(N71="M",M71*12,IF(N71="W",M71*(Lookups!$B$9),IF(N71="B",M71*(+Lookups!$B$10),IF(N71="S",M71*2,IF(AND(M71=0,P71&gt;0),P71,"ERROR"))))))))</f>
        <v>840</v>
      </c>
      <c r="R71" s="15">
        <v>70</v>
      </c>
      <c r="S71" s="19" t="s">
        <v>42</v>
      </c>
      <c r="T71" s="12"/>
      <c r="U71" s="20">
        <f>IF(R71="",0,IF(T71&gt;0,0,IF(S71="A",R71,IF(S71="M",R71*12,IF(S71="W",R71*Lookups!B$9,IF(S71="B",R71*+Lookups!B$10,IF(S71="S",R71*2,IF(AND(R71=0,T71&gt;0),T71,"ERROR"))))))))</f>
        <v>840</v>
      </c>
      <c r="V71" s="130">
        <f>IF(OR(AND(Q71=0,H71=0),P71&gt;0),"",IF(AND(I71="W",N71="W"),ROUND(Q71-(H71*Lookups!$B$9),0),ROUND(+Q71-L71,0)))</f>
        <v>60</v>
      </c>
      <c r="W71" s="75" t="str">
        <f t="shared" si="8"/>
        <v>I</v>
      </c>
      <c r="X71" s="123" t="str">
        <f t="shared" si="4"/>
        <v>N</v>
      </c>
      <c r="Y71" s="123" t="str">
        <f t="shared" si="9"/>
        <v/>
      </c>
      <c r="Z71" s="121"/>
      <c r="AA71" s="52" t="s">
        <v>439</v>
      </c>
      <c r="AB71" s="53" t="s">
        <v>440</v>
      </c>
      <c r="AC71" s="53" t="s">
        <v>394</v>
      </c>
      <c r="AD71" s="54" t="s">
        <v>395</v>
      </c>
      <c r="AE71" s="55">
        <v>53406</v>
      </c>
    </row>
    <row r="72" spans="1:31" x14ac:dyDescent="0.35">
      <c r="B72" s="21" t="s">
        <v>643</v>
      </c>
      <c r="C72" s="4" t="s">
        <v>644</v>
      </c>
      <c r="D72" s="12"/>
      <c r="E72" s="15"/>
      <c r="F72" s="12"/>
      <c r="G72" s="20"/>
      <c r="H72" s="15"/>
      <c r="I72" s="19"/>
      <c r="J72" s="12"/>
      <c r="K72" s="12"/>
      <c r="L72" s="20"/>
      <c r="M72" s="15"/>
      <c r="N72" s="19"/>
      <c r="O72" s="12">
        <v>66</v>
      </c>
      <c r="P72" s="12">
        <v>75</v>
      </c>
      <c r="Q72" s="20">
        <f>IF(N72="",0,IF(P72&gt;0,0,IF(N72="A",M72,IF(N72="M",M72*12,IF(N72="W",M72*(Lookups!$B$9),IF(N72="B",M72*(+Lookups!$B$10),IF(N72="S",M72*2,IF(AND(M72=0,P72&gt;0),P72,"ERROR"))))))))</f>
        <v>0</v>
      </c>
      <c r="R72" s="15"/>
      <c r="S72" s="19"/>
      <c r="T72" s="12"/>
      <c r="U72" s="20">
        <f>IF(R72="",0,IF(T72&gt;0,0,IF(S72="A",R72,IF(S72="M",R72*12,IF(S72="W",R72*Lookups!B$9,IF(S72="B",R72*+Lookups!B$10,IF(S72="S",R72*2,IF(AND(R72=0,T72&gt;0),T72,"ERROR"))))))))</f>
        <v>0</v>
      </c>
      <c r="V72" s="130" t="str">
        <f>IF(OR(AND(Q72=0,H72=0),P72&gt;0),"",IF(AND(I72="W",N72="W"),ROUND(Q72-(H72*Lookups!$B$9),0),ROUND(+Q72-L72,0)))</f>
        <v/>
      </c>
      <c r="W72" s="75" t="str">
        <f t="shared" si="8"/>
        <v>E</v>
      </c>
      <c r="X72" s="123" t="str">
        <f t="shared" ref="X72:X135" si="10">IF(Q72&gt;0,IF(OR(O72=Q72,O72&gt;Q72),"Y","N"),"")</f>
        <v/>
      </c>
      <c r="Y72" s="123" t="str">
        <f t="shared" si="9"/>
        <v>Y</v>
      </c>
      <c r="Z72" s="121"/>
      <c r="AA72" s="52"/>
    </row>
    <row r="73" spans="1:31" ht="29" x14ac:dyDescent="0.35">
      <c r="B73" s="21" t="s">
        <v>101</v>
      </c>
      <c r="C73" s="4" t="s">
        <v>102</v>
      </c>
      <c r="D73" s="12">
        <v>2700</v>
      </c>
      <c r="E73" s="15">
        <v>2940</v>
      </c>
      <c r="F73" s="12">
        <v>2030</v>
      </c>
      <c r="G73" s="20">
        <f t="shared" si="7"/>
        <v>2030</v>
      </c>
      <c r="H73" s="15">
        <v>250</v>
      </c>
      <c r="I73" s="19" t="s">
        <v>42</v>
      </c>
      <c r="J73" s="12">
        <v>2250</v>
      </c>
      <c r="K73" s="12"/>
      <c r="L73" s="20">
        <f>IF(I73="",0,IF(K73&gt;0,0,IF(I73="A",H73,IF(I73="M",H73*12,IF(I73="W",H73*(Lookups!$B$9+1),IF(I73="B",H73*(+Lookups!$B$10),IF(I73="S",H73*2,IF(AND(H73=0,K73&gt;0),K73,"ERROR"))))))))</f>
        <v>3000</v>
      </c>
      <c r="M73" s="15">
        <v>250</v>
      </c>
      <c r="N73" s="19" t="s">
        <v>42</v>
      </c>
      <c r="O73" s="12">
        <v>2000</v>
      </c>
      <c r="P73" s="12"/>
      <c r="Q73" s="20">
        <f>IF(N73="",0,IF(P73&gt;0,0,IF(N73="A",M73,IF(N73="M",M73*12,IF(N73="W",M73*(Lookups!$B$9),IF(N73="B",M73*(+Lookups!$B$10),IF(N73="S",M73*2,IF(AND(M73=0,P73&gt;0),P73,"ERROR"))))))))</f>
        <v>3000</v>
      </c>
      <c r="R73" s="15">
        <v>250</v>
      </c>
      <c r="S73" s="19" t="s">
        <v>42</v>
      </c>
      <c r="T73" s="12"/>
      <c r="U73" s="20">
        <f>IF(R73="",0,IF(T73&gt;0,0,IF(S73="A",R73,IF(S73="M",R73*12,IF(S73="W",R73*Lookups!B$9,IF(S73="B",R73*+Lookups!B$10,IF(S73="S",R73*2,IF(AND(R73=0,T73&gt;0),T73,"ERROR"))))))))</f>
        <v>3000</v>
      </c>
      <c r="V73" s="130">
        <f>IF(OR(AND(Q73=0,H73=0),P73&gt;0),"",IF(AND(I73="W",N73="W"),ROUND(Q73-(H73*Lookups!$B$9),0),ROUND(+Q73-L73,0)))</f>
        <v>0</v>
      </c>
      <c r="W73" s="75" t="str">
        <f t="shared" si="8"/>
        <v>S</v>
      </c>
      <c r="X73" s="123" t="str">
        <f t="shared" si="10"/>
        <v>N</v>
      </c>
      <c r="Y73" s="123" t="str">
        <f t="shared" si="9"/>
        <v/>
      </c>
      <c r="Z73" s="121"/>
      <c r="AA73" s="118" t="s">
        <v>545</v>
      </c>
      <c r="AB73" s="53" t="s">
        <v>441</v>
      </c>
      <c r="AC73" s="53" t="s">
        <v>394</v>
      </c>
      <c r="AD73" s="54" t="s">
        <v>395</v>
      </c>
      <c r="AE73" s="55">
        <v>53406</v>
      </c>
    </row>
    <row r="74" spans="1:31" x14ac:dyDescent="0.35">
      <c r="B74" s="21" t="s">
        <v>103</v>
      </c>
      <c r="C74" s="4" t="s">
        <v>442</v>
      </c>
      <c r="D74" s="12">
        <v>2000</v>
      </c>
      <c r="E74" s="15">
        <v>2000</v>
      </c>
      <c r="F74" s="12">
        <v>2000</v>
      </c>
      <c r="G74" s="20">
        <f t="shared" si="7"/>
        <v>2000</v>
      </c>
      <c r="H74" s="15">
        <v>2000</v>
      </c>
      <c r="I74" s="19" t="s">
        <v>38</v>
      </c>
      <c r="J74" s="12">
        <v>2000</v>
      </c>
      <c r="K74" s="12"/>
      <c r="L74" s="20">
        <f>IF(I74="",0,IF(K74&gt;0,0,IF(I74="A",H74,IF(I74="M",H74*12,IF(I74="W",H74*(Lookups!$B$9+1),IF(I74="B",H74*(+Lookups!$B$10),IF(I74="S",H74*2,IF(AND(H74=0,K74&gt;0),K74,"ERROR"))))))))</f>
        <v>2000</v>
      </c>
      <c r="M74" s="15">
        <v>2000</v>
      </c>
      <c r="N74" s="19" t="s">
        <v>38</v>
      </c>
      <c r="O74" s="12">
        <v>2000</v>
      </c>
      <c r="P74" s="12"/>
      <c r="Q74" s="20">
        <f>IF(N74="",0,IF(P74&gt;0,0,IF(N74="A",M74,IF(N74="M",M74*12,IF(N74="W",M74*(Lookups!$B$9),IF(N74="B",M74*(+Lookups!$B$10),IF(N74="S",M74*2,IF(AND(M74=0,P74&gt;0),P74,"ERROR"))))))))</f>
        <v>2000</v>
      </c>
      <c r="R74" s="15">
        <v>2000</v>
      </c>
      <c r="S74" s="19" t="s">
        <v>38</v>
      </c>
      <c r="T74" s="12"/>
      <c r="U74" s="20">
        <f>IF(R74="",0,IF(T74&gt;0,0,IF(S74="A",R74,IF(S74="M",R74*12,IF(S74="W",R74*Lookups!B$9,IF(S74="B",R74*+Lookups!B$10,IF(S74="S",R74*2,IF(AND(R74=0,T74&gt;0),T74,"ERROR"))))))))</f>
        <v>2000</v>
      </c>
      <c r="V74" s="130">
        <f>IF(OR(AND(Q74=0,H74=0),P74&gt;0),"",IF(AND(I74="W",N74="W"),ROUND(Q74-(H74*Lookups!$B$9),0),ROUND(+Q74-L74,0)))</f>
        <v>0</v>
      </c>
      <c r="W74" s="75" t="str">
        <f t="shared" si="8"/>
        <v>S</v>
      </c>
      <c r="X74" s="123" t="str">
        <f t="shared" si="10"/>
        <v>Y</v>
      </c>
      <c r="Y74" s="123" t="str">
        <f t="shared" si="9"/>
        <v/>
      </c>
      <c r="Z74" s="126" t="s">
        <v>554</v>
      </c>
      <c r="AA74" s="52" t="s">
        <v>443</v>
      </c>
      <c r="AB74" s="53" t="s">
        <v>444</v>
      </c>
      <c r="AC74" s="53" t="s">
        <v>394</v>
      </c>
      <c r="AD74" s="54" t="s">
        <v>395</v>
      </c>
      <c r="AE74" s="55">
        <v>53406</v>
      </c>
    </row>
    <row r="75" spans="1:31" x14ac:dyDescent="0.35">
      <c r="B75" s="21" t="s">
        <v>105</v>
      </c>
      <c r="C75" s="4" t="s">
        <v>106</v>
      </c>
      <c r="D75" s="12">
        <v>729</v>
      </c>
      <c r="E75" s="15">
        <v>728</v>
      </c>
      <c r="F75" s="12">
        <v>556</v>
      </c>
      <c r="G75" s="20">
        <f t="shared" si="7"/>
        <v>728</v>
      </c>
      <c r="H75" s="15">
        <v>754</v>
      </c>
      <c r="I75" s="19" t="s">
        <v>38</v>
      </c>
      <c r="J75" s="12">
        <v>566</v>
      </c>
      <c r="K75" s="12"/>
      <c r="L75" s="20">
        <f>IF(I75="",0,IF(K75&gt;0,0,IF(I75="A",H75,IF(I75="M",H75*12,IF(I75="W",H75*(Lookups!$B$9+1),IF(I75="B",H75*(+Lookups!$B$10),IF(I75="S",H75*2,IF(AND(H75=0,K75&gt;0),K75,"ERROR"))))))))</f>
        <v>754</v>
      </c>
      <c r="M75" s="15">
        <v>16</v>
      </c>
      <c r="N75" s="19" t="s">
        <v>41</v>
      </c>
      <c r="O75" s="12">
        <v>549</v>
      </c>
      <c r="P75" s="12"/>
      <c r="Q75" s="20">
        <f>IF(N75="",0,IF(P75&gt;0,0,IF(N75="A",M75,IF(N75="M",M75*12,IF(N75="W",M75*(Lookups!$B$9),IF(N75="B",M75*(+Lookups!$B$10),IF(N75="S",M75*2,IF(AND(M75=0,P75&gt;0),P75,"ERROR"))))))))</f>
        <v>832</v>
      </c>
      <c r="R75" s="15">
        <v>16</v>
      </c>
      <c r="S75" s="19" t="s">
        <v>41</v>
      </c>
      <c r="T75" s="12"/>
      <c r="U75" s="20">
        <f>IF(R75="",0,IF(T75&gt;0,0,IF(S75="A",R75,IF(S75="M",R75*12,IF(S75="W",R75*Lookups!B$9,IF(S75="B",R75*+Lookups!B$10,IF(S75="S",R75*2,IF(AND(R75=0,T75&gt;0),T75,"ERROR"))))))))</f>
        <v>832</v>
      </c>
      <c r="V75" s="130">
        <f>IF(OR(AND(Q75=0,H75=0),P75&gt;0),"",IF(AND(I75="W",N75="W"),ROUND(Q75-(H75*Lookups!$B$9),0),ROUND(+Q75-L75,0)))</f>
        <v>78</v>
      </c>
      <c r="W75" s="75" t="str">
        <f t="shared" si="8"/>
        <v>I</v>
      </c>
      <c r="X75" s="123" t="str">
        <f t="shared" si="10"/>
        <v>N</v>
      </c>
      <c r="Y75" s="123" t="str">
        <f t="shared" si="9"/>
        <v/>
      </c>
      <c r="Z75" s="121"/>
      <c r="AA75" s="52" t="s">
        <v>546</v>
      </c>
      <c r="AB75" s="53" t="s">
        <v>547</v>
      </c>
      <c r="AC75" s="53" t="s">
        <v>418</v>
      </c>
      <c r="AD75" s="54" t="s">
        <v>395</v>
      </c>
      <c r="AE75" s="55">
        <v>53406</v>
      </c>
    </row>
    <row r="76" spans="1:31" x14ac:dyDescent="0.35">
      <c r="B76" s="21" t="s">
        <v>107</v>
      </c>
      <c r="C76" s="4" t="s">
        <v>108</v>
      </c>
      <c r="D76" s="12">
        <v>4035</v>
      </c>
      <c r="E76" s="15">
        <v>4160</v>
      </c>
      <c r="F76" s="12">
        <v>3040</v>
      </c>
      <c r="G76" s="20">
        <f t="shared" si="7"/>
        <v>4160</v>
      </c>
      <c r="H76" s="15">
        <v>85</v>
      </c>
      <c r="I76" s="19" t="s">
        <v>41</v>
      </c>
      <c r="J76" s="12">
        <v>3315</v>
      </c>
      <c r="K76" s="12"/>
      <c r="L76" s="20">
        <f>IF(I76="",0,IF(K76&gt;0,0,IF(I76="A",H76,IF(I76="M",H76*12,IF(I76="W",H76*(Lookups!$B$9+1),IF(I76="B",H76*(+Lookups!$B$10),IF(I76="S",H76*2,IF(AND(H76=0,K76&gt;0),K76,"ERROR"))))))))</f>
        <v>4505</v>
      </c>
      <c r="M76" s="15">
        <v>90</v>
      </c>
      <c r="N76" s="19" t="s">
        <v>41</v>
      </c>
      <c r="O76" s="12">
        <v>2880</v>
      </c>
      <c r="P76" s="12"/>
      <c r="Q76" s="20">
        <f>IF(N76="",0,IF(P76&gt;0,0,IF(N76="A",M76,IF(N76="M",M76*12,IF(N76="W",M76*(Lookups!$B$9),IF(N76="B",M76*(+Lookups!$B$10),IF(N76="S",M76*2,IF(AND(M76=0,P76&gt;0),P76,"ERROR"))))))))</f>
        <v>4680</v>
      </c>
      <c r="R76" s="15">
        <v>90</v>
      </c>
      <c r="S76" s="19" t="s">
        <v>41</v>
      </c>
      <c r="T76" s="12"/>
      <c r="U76" s="20">
        <f>IF(R76="",0,IF(T76&gt;0,0,IF(S76="A",R76,IF(S76="M",R76*12,IF(S76="W",R76*Lookups!B$9,IF(S76="B",R76*+Lookups!B$10,IF(S76="S",R76*2,IF(AND(R76=0,T76&gt;0),T76,"ERROR"))))))))</f>
        <v>4680</v>
      </c>
      <c r="V76" s="130">
        <f>IF(OR(AND(Q76=0,H76=0),P76&gt;0),"",IF(AND(I76="W",N76="W"),ROUND(Q76-(H76*Lookups!$B$9),0),ROUND(+Q76-L76,0)))</f>
        <v>260</v>
      </c>
      <c r="W76" s="75" t="str">
        <f t="shared" si="8"/>
        <v>I</v>
      </c>
      <c r="X76" s="123" t="str">
        <f t="shared" si="10"/>
        <v>N</v>
      </c>
      <c r="Y76" s="123" t="str">
        <f t="shared" si="9"/>
        <v/>
      </c>
      <c r="Z76" s="126" t="s">
        <v>552</v>
      </c>
      <c r="AB76" s="53" t="s">
        <v>548</v>
      </c>
      <c r="AC76" s="53" t="s">
        <v>418</v>
      </c>
      <c r="AD76" s="54" t="s">
        <v>395</v>
      </c>
      <c r="AE76" s="55">
        <v>53404</v>
      </c>
    </row>
    <row r="77" spans="1:31" x14ac:dyDescent="0.35">
      <c r="B77" s="21" t="s">
        <v>622</v>
      </c>
      <c r="C77" s="4" t="s">
        <v>325</v>
      </c>
      <c r="D77" s="12"/>
      <c r="E77" s="15"/>
      <c r="F77" s="12"/>
      <c r="G77" s="20">
        <f t="shared" si="7"/>
        <v>0</v>
      </c>
      <c r="H77" s="15"/>
      <c r="I77" s="19"/>
      <c r="J77" s="12">
        <v>535</v>
      </c>
      <c r="K77" s="12"/>
      <c r="L77" s="20">
        <f>IF(I77="",0,IF(K77&gt;0,0,IF(I77="A",H77,IF(I77="M",H77*12,IF(I77="W",H77*(Lookups!$B$9+1),IF(I77="B",H77*(+Lookups!$B$10),IF(I77="S",H77*2,IF(AND(H77=0,K77&gt;0),K77,"ERROR"))))))))</f>
        <v>0</v>
      </c>
      <c r="M77" s="15"/>
      <c r="N77" s="19"/>
      <c r="O77" s="12">
        <v>325</v>
      </c>
      <c r="P77" s="12">
        <v>500</v>
      </c>
      <c r="Q77" s="20">
        <f>IF(N77="",0,IF(P77&gt;0,0,IF(N77="A",M77,IF(N77="M",M77*12,IF(N77="W",M77*(Lookups!$B$9),IF(N77="B",M77*(+Lookups!$B$10),IF(N77="S",M77*2,IF(AND(M77=0,P77&gt;0),P77,"ERROR"))))))))</f>
        <v>0</v>
      </c>
      <c r="R77" s="15"/>
      <c r="S77" s="19"/>
      <c r="T77" s="12">
        <v>500</v>
      </c>
      <c r="U77" s="20">
        <f>IF(R77="",0,IF(T77&gt;0,0,IF(S77="A",R77,IF(S77="M",R77*12,IF(S77="W",R77*Lookups!B$9,IF(S77="B",R77*+Lookups!B$10,IF(S77="S",R77*2,IF(AND(R77=0,T77&gt;0),T77,"ERROR"))))))))</f>
        <v>0</v>
      </c>
      <c r="V77" s="130" t="str">
        <f>IF(OR(AND(Q77=0,H77=0),P77&gt;0),"",IF(AND(I77="W",N77="W"),ROUND(Q77-(H77*Lookups!$B$9),0),ROUND(+Q77-L77,0)))</f>
        <v/>
      </c>
      <c r="W77" s="75" t="str">
        <f t="shared" si="8"/>
        <v>E</v>
      </c>
      <c r="X77" s="123" t="str">
        <f t="shared" si="10"/>
        <v/>
      </c>
      <c r="Y77" s="123" t="str">
        <f t="shared" si="9"/>
        <v>Y</v>
      </c>
      <c r="Z77" s="126"/>
    </row>
    <row r="78" spans="1:31" x14ac:dyDescent="0.35">
      <c r="A78" s="139" t="s">
        <v>638</v>
      </c>
      <c r="B78" s="108" t="s">
        <v>259</v>
      </c>
      <c r="C78" s="109" t="s">
        <v>260</v>
      </c>
      <c r="D78" s="110">
        <v>3050</v>
      </c>
      <c r="E78" s="111"/>
      <c r="F78" s="110"/>
      <c r="G78" s="112">
        <f t="shared" si="7"/>
        <v>0</v>
      </c>
      <c r="H78" s="111"/>
      <c r="I78" s="113"/>
      <c r="J78" s="110"/>
      <c r="K78" s="110"/>
      <c r="L78" s="112">
        <f>IF(I78="",0,IF(K78&gt;0,0,IF(I78="A",H78,IF(I78="M",H78*12,IF(I78="W",H78*(Lookups!$B$9+1),IF(I78="B",H78*(+Lookups!$B$10),IF(I78="S",H78*2,IF(AND(H78=0,K78&gt;0),K78,"ERROR"))))))))</f>
        <v>0</v>
      </c>
      <c r="M78" s="111"/>
      <c r="N78" s="113"/>
      <c r="O78" s="110">
        <v>0</v>
      </c>
      <c r="P78" s="110"/>
      <c r="Q78" s="112">
        <f>IF(N78="",0,IF(P78&gt;0,0,IF(N78="A",M78,IF(N78="M",M78*12,IF(N78="W",M78*(Lookups!$B$9),IF(N78="B",M78*(+Lookups!$B$10),IF(N78="S",M78*2,IF(AND(M78=0,P78&gt;0),P78,"ERROR"))))))))</f>
        <v>0</v>
      </c>
      <c r="R78" s="111"/>
      <c r="S78" s="113"/>
      <c r="T78" s="110"/>
      <c r="U78" s="112">
        <f>IF(R78="",0,IF(T78&gt;0,0,IF(S78="A",R78,IF(S78="M",R78*12,IF(S78="W",R78*Lookups!B$9,IF(S78="B",R78*+Lookups!B$10,IF(S78="S",R78*2,IF(AND(R78=0,T78&gt;0),T78,"ERROR"))))))))</f>
        <v>0</v>
      </c>
      <c r="V78" s="85" t="str">
        <f>IF(OR(AND(Q78=0,H78=0),P78&gt;0),"",IF(AND(I78="W",N78="W"),ROUND(Q78-(H78*Lookups!$B$9),0),ROUND(+Q78-L78,0)))</f>
        <v/>
      </c>
      <c r="W78" s="86" t="str">
        <f t="shared" si="8"/>
        <v/>
      </c>
      <c r="X78" s="123" t="str">
        <f t="shared" si="10"/>
        <v/>
      </c>
      <c r="Y78" s="123" t="str">
        <f t="shared" si="9"/>
        <v/>
      </c>
      <c r="Z78" s="122"/>
      <c r="AA78" s="114" t="s">
        <v>503</v>
      </c>
      <c r="AB78" s="114"/>
      <c r="AC78" s="114"/>
      <c r="AD78" s="115"/>
      <c r="AE78" s="116"/>
    </row>
    <row r="79" spans="1:31" x14ac:dyDescent="0.35">
      <c r="A79" s="139" t="s">
        <v>638</v>
      </c>
      <c r="B79" s="21" t="s">
        <v>261</v>
      </c>
      <c r="C79" s="4" t="s">
        <v>151</v>
      </c>
      <c r="D79" s="12">
        <v>540</v>
      </c>
      <c r="E79" s="15"/>
      <c r="F79" s="12"/>
      <c r="G79" s="20">
        <f t="shared" si="7"/>
        <v>0</v>
      </c>
      <c r="H79" s="15"/>
      <c r="I79" s="19"/>
      <c r="J79" s="12"/>
      <c r="K79" s="12"/>
      <c r="L79" s="20">
        <f>IF(I79="",0,IF(K79&gt;0,0,IF(I79="A",H79,IF(I79="M",H79*12,IF(I79="W",H79*(Lookups!$B$9+1),IF(I79="B",H79*(+Lookups!$B$10),IF(I79="S",H79*2,IF(AND(H79=0,K79&gt;0),K79,"ERROR"))))))))</f>
        <v>0</v>
      </c>
      <c r="M79" s="15"/>
      <c r="N79" s="19"/>
      <c r="O79" s="12">
        <v>0</v>
      </c>
      <c r="P79" s="12"/>
      <c r="Q79" s="20">
        <f>IF(N79="",0,IF(P79&gt;0,0,IF(N79="A",M79,IF(N79="M",M79*12,IF(N79="W",M79*(Lookups!$B$9),IF(N79="B",M79*(+Lookups!$B$10),IF(N79="S",M79*2,IF(AND(M79=0,P79&gt;0),P79,"ERROR"))))))))</f>
        <v>0</v>
      </c>
      <c r="R79" s="15"/>
      <c r="S79" s="19"/>
      <c r="T79" s="12"/>
      <c r="U79" s="20">
        <f>IF(R79="",0,IF(T79&gt;0,0,IF(S79="A",R79,IF(S79="M",R79*12,IF(S79="W",R79*Lookups!B$9,IF(S79="B",R79*+Lookups!B$10,IF(S79="S",R79*2,IF(AND(R79=0,T79&gt;0),T79,"ERROR"))))))))</f>
        <v>0</v>
      </c>
      <c r="V79" s="130" t="str">
        <f>IF(OR(AND(Q79=0,H79=0),P79&gt;0),"",IF(AND(I79="W",N79="W"),ROUND(Q79-(H79*Lookups!$B$9),0),ROUND(+Q79-L79,0)))</f>
        <v/>
      </c>
      <c r="W79" s="75" t="str">
        <f t="shared" si="8"/>
        <v/>
      </c>
      <c r="X79" s="123" t="str">
        <f t="shared" si="10"/>
        <v/>
      </c>
      <c r="Y79" s="123" t="str">
        <f t="shared" si="9"/>
        <v/>
      </c>
      <c r="Z79" s="121"/>
    </row>
    <row r="80" spans="1:31" x14ac:dyDescent="0.35">
      <c r="B80" s="21" t="s">
        <v>109</v>
      </c>
      <c r="C80" s="4" t="s">
        <v>60</v>
      </c>
      <c r="D80" s="12">
        <v>465</v>
      </c>
      <c r="E80" s="15">
        <v>504</v>
      </c>
      <c r="F80" s="12">
        <v>340</v>
      </c>
      <c r="G80" s="20">
        <f t="shared" si="7"/>
        <v>340</v>
      </c>
      <c r="H80" s="15"/>
      <c r="I80" s="19" t="s">
        <v>42</v>
      </c>
      <c r="J80" s="12">
        <v>297</v>
      </c>
      <c r="K80" s="12">
        <v>400</v>
      </c>
      <c r="L80" s="20">
        <f>IF(I80="",0,IF(K80&gt;0,0,IF(I80="A",H80,IF(I80="M",H80*12,IF(I80="W",H80*(Lookups!$B$9+1),IF(I80="B",H80*(+Lookups!$B$10),IF(I80="S",H80*2,IF(AND(H80=0,K80&gt;0),K80,"ERROR"))))))))</f>
        <v>0</v>
      </c>
      <c r="M80" s="15"/>
      <c r="N80" s="19"/>
      <c r="O80" s="12">
        <v>310</v>
      </c>
      <c r="P80" s="12">
        <v>400</v>
      </c>
      <c r="Q80" s="20">
        <f>IF(N80="",0,IF(P80&gt;0,0,IF(N80="A",M80,IF(N80="M",M80*12,IF(N80="W",M80*(Lookups!$B$9),IF(N80="B",M80*(+Lookups!$B$10),IF(N80="S",M80*2,IF(AND(M80=0,P80&gt;0),P80,"ERROR"))))))))</f>
        <v>0</v>
      </c>
      <c r="R80" s="15"/>
      <c r="S80" s="19"/>
      <c r="T80" s="12">
        <v>400</v>
      </c>
      <c r="U80" s="20">
        <f>IF(R80="",0,IF(T80&gt;0,0,IF(S80="A",R80,IF(S80="M",R80*12,IF(S80="W",R80*Lookups!B$9,IF(S80="B",R80*+Lookups!B$10,IF(S80="S",R80*2,IF(AND(R80=0,T80&gt;0),T80,"ERROR"))))))))</f>
        <v>0</v>
      </c>
      <c r="V80" s="130" t="str">
        <f>IF(OR(AND(Q80=0,H80=0),P80&gt;0),"",IF(AND(I80="W",N80="W"),ROUND(Q80-(H80*Lookups!$B$9),0),ROUND(+Q80-L80,0)))</f>
        <v/>
      </c>
      <c r="W80" s="75" t="str">
        <f t="shared" si="8"/>
        <v>E</v>
      </c>
      <c r="X80" s="123" t="str">
        <f t="shared" si="10"/>
        <v/>
      </c>
      <c r="Y80" s="123" t="str">
        <f t="shared" si="9"/>
        <v>Y</v>
      </c>
      <c r="Z80" s="121"/>
    </row>
    <row r="81" spans="1:31" ht="29" x14ac:dyDescent="0.35">
      <c r="B81" s="21" t="s">
        <v>520</v>
      </c>
      <c r="C81" s="4" t="s">
        <v>521</v>
      </c>
      <c r="D81" s="12"/>
      <c r="E81" s="15"/>
      <c r="F81" s="12"/>
      <c r="G81" s="20">
        <f t="shared" si="7"/>
        <v>0</v>
      </c>
      <c r="H81" s="15"/>
      <c r="I81" s="19"/>
      <c r="J81" s="12">
        <v>200</v>
      </c>
      <c r="K81" s="12"/>
      <c r="L81" s="20">
        <f>IF(I81="",0,IF(K81&gt;0,0,IF(I81="A",H81,IF(I81="M",H81*12,IF(I81="W",H81*(Lookups!$B$9+1),IF(I81="B",H81*(+Lookups!$B$10),IF(I81="S",H81*2,IF(AND(H81=0,K81&gt;0),K81,"ERROR"))))))))</f>
        <v>0</v>
      </c>
      <c r="M81" s="15">
        <v>2500</v>
      </c>
      <c r="N81" s="19" t="s">
        <v>38</v>
      </c>
      <c r="O81" s="12">
        <v>1200</v>
      </c>
      <c r="P81" s="12"/>
      <c r="Q81" s="20">
        <f>IF(N81="",0,IF(P81&gt;0,0,IF(N81="A",M81,IF(N81="M",M81*12,IF(N81="W",M81*(Lookups!$B$9),IF(N81="B",M81*(+Lookups!$B$10),IF(N81="S",M81*2,IF(AND(M81=0,P81&gt;0),P81,"ERROR"))))))))</f>
        <v>2500</v>
      </c>
      <c r="R81" s="15">
        <v>2500</v>
      </c>
      <c r="S81" s="19" t="s">
        <v>38</v>
      </c>
      <c r="T81" s="12"/>
      <c r="U81" s="20">
        <f>IF(R81="",0,IF(T81&gt;0,0,IF(S81="A",R81,IF(S81="M",R81*12,IF(S81="W",R81*Lookups!B$9,IF(S81="B",R81*+Lookups!B$10,IF(S81="S",R81*2,IF(AND(R81=0,T81&gt;0),T81,"ERROR"))))))))</f>
        <v>2500</v>
      </c>
      <c r="V81" s="130">
        <f>IF(OR(AND(Q81=0,H81=0),P81&gt;0),"",IF(AND(I81="W",N81="W"),ROUND(Q81-(H81*Lookups!$B$9),0),ROUND(+Q81-L81,0)))</f>
        <v>2500</v>
      </c>
      <c r="W81" s="75" t="str">
        <f t="shared" si="8"/>
        <v>N</v>
      </c>
      <c r="X81" s="123" t="str">
        <f t="shared" si="10"/>
        <v>N</v>
      </c>
      <c r="Y81" s="123" t="str">
        <f t="shared" si="9"/>
        <v/>
      </c>
      <c r="Z81" s="121"/>
      <c r="AA81" s="119" t="s">
        <v>549</v>
      </c>
      <c r="AB81" s="53" t="s">
        <v>550</v>
      </c>
      <c r="AC81" s="53" t="s">
        <v>418</v>
      </c>
      <c r="AD81" s="54" t="s">
        <v>395</v>
      </c>
      <c r="AE81" s="55">
        <v>53405</v>
      </c>
    </row>
    <row r="82" spans="1:31" x14ac:dyDescent="0.35">
      <c r="B82" s="21" t="s">
        <v>520</v>
      </c>
      <c r="C82" s="4" t="s">
        <v>522</v>
      </c>
      <c r="D82" s="12"/>
      <c r="E82" s="15"/>
      <c r="F82" s="12"/>
      <c r="G82" s="20">
        <f t="shared" si="7"/>
        <v>0</v>
      </c>
      <c r="H82" s="15"/>
      <c r="I82" s="19"/>
      <c r="J82" s="12"/>
      <c r="K82" s="12"/>
      <c r="L82" s="20">
        <f>IF(I82="",0,IF(K82&gt;0,0,IF(I82="A",H82,IF(I82="M",H82*12,IF(I82="W",H82*(Lookups!$B$9+1),IF(I82="B",H82*(+Lookups!$B$10),IF(I82="S",H82*2,IF(AND(H82=0,K82&gt;0),K82,"ERROR"))))))))</f>
        <v>0</v>
      </c>
      <c r="M82" s="15">
        <v>1500</v>
      </c>
      <c r="N82" s="19" t="s">
        <v>38</v>
      </c>
      <c r="O82" s="12">
        <v>0</v>
      </c>
      <c r="P82" s="12"/>
      <c r="Q82" s="20">
        <f>IF(N82="",0,IF(P82&gt;0,0,IF(N82="A",M82,IF(N82="M",M82*12,IF(N82="W",M82*(Lookups!$B$9),IF(N82="B",M82*(+Lookups!$B$10),IF(N82="S",M82*2,IF(AND(M82=0,P82&gt;0),P82,"ERROR"))))))))</f>
        <v>1500</v>
      </c>
      <c r="R82" s="15">
        <v>1500</v>
      </c>
      <c r="S82" s="19" t="s">
        <v>38</v>
      </c>
      <c r="T82" s="12"/>
      <c r="U82" s="20">
        <f>IF(R82="",0,IF(T82&gt;0,0,IF(S82="A",R82,IF(S82="M",R82*12,IF(S82="W",R82*Lookups!B$9,IF(S82="B",R82*+Lookups!B$10,IF(S82="S",R82*2,IF(AND(R82=0,T82&gt;0),T82,"ERROR"))))))))</f>
        <v>1500</v>
      </c>
      <c r="V82" s="130">
        <f>IF(OR(AND(Q82=0,H82=0),P82&gt;0),"",IF(AND(I82="W",N82="W"),ROUND(Q82-(H82*Lookups!$B$9),0),ROUND(+Q82-L82,0)))</f>
        <v>1500</v>
      </c>
      <c r="W82" s="75" t="str">
        <f t="shared" si="8"/>
        <v>N</v>
      </c>
      <c r="X82" s="123" t="str">
        <f t="shared" si="10"/>
        <v>N</v>
      </c>
      <c r="Y82" s="123" t="str">
        <f t="shared" si="9"/>
        <v/>
      </c>
      <c r="Z82" s="126" t="s">
        <v>553</v>
      </c>
    </row>
    <row r="83" spans="1:31" x14ac:dyDescent="0.35">
      <c r="B83" s="69" t="s">
        <v>262</v>
      </c>
      <c r="C83" s="70" t="s">
        <v>263</v>
      </c>
      <c r="D83" s="71">
        <v>3120</v>
      </c>
      <c r="E83" s="72"/>
      <c r="F83" s="71">
        <v>100</v>
      </c>
      <c r="G83" s="73">
        <f t="shared" si="7"/>
        <v>100</v>
      </c>
      <c r="H83" s="72"/>
      <c r="I83" s="74"/>
      <c r="J83" s="71"/>
      <c r="K83" s="71"/>
      <c r="L83" s="73">
        <f>IF(I83="",0,IF(K83&gt;0,0,IF(I83="A",H83,IF(I83="M",H83*12,IF(I83="W",H83*(Lookups!$B$9+1),IF(I83="B",H83*(+Lookups!$B$10),IF(I83="S",H83*2,IF(AND(H83=0,K83&gt;0),K83,"ERROR"))))))))</f>
        <v>0</v>
      </c>
      <c r="M83" s="72"/>
      <c r="N83" s="74"/>
      <c r="O83" s="71">
        <v>2960</v>
      </c>
      <c r="P83" s="71">
        <v>4000</v>
      </c>
      <c r="Q83" s="73">
        <f>IF(N83="",0,IF(P83&gt;0,0,IF(N83="A",M83,IF(N83="M",M83*12,IF(N83="W",M83*(Lookups!$B$9),IF(N83="B",M83*(+Lookups!$B$10),IF(N83="S",M83*2,IF(AND(M83=0,P83&gt;0),P83,"ERROR"))))))))</f>
        <v>0</v>
      </c>
      <c r="R83" s="72"/>
      <c r="S83" s="74"/>
      <c r="T83" s="71"/>
      <c r="U83" s="73">
        <f>IF(R83="",0,IF(T83&gt;0,0,IF(S83="A",R83,IF(S83="M",R83*12,IF(S83="W",R83*Lookups!B$9,IF(S83="B",R83*+Lookups!B$10,IF(S83="S",R83*2,IF(AND(R83=0,T83&gt;0),T83,"ERROR"))))))))</f>
        <v>0</v>
      </c>
      <c r="V83" s="130" t="str">
        <f>IF(OR(AND(Q83=0,H83=0),P83&gt;0),"",IF(AND(I83="W",N83="W"),ROUND(Q83-(H83*Lookups!$B$9),0),ROUND(+Q83-L83,0)))</f>
        <v/>
      </c>
      <c r="W83" s="75" t="str">
        <f t="shared" si="8"/>
        <v>E</v>
      </c>
      <c r="X83" s="123" t="str">
        <f t="shared" si="10"/>
        <v/>
      </c>
      <c r="Y83" s="123" t="str">
        <f t="shared" si="9"/>
        <v>Y</v>
      </c>
      <c r="Z83" s="123"/>
      <c r="AA83" s="76" t="s">
        <v>503</v>
      </c>
      <c r="AB83" s="76"/>
      <c r="AC83" s="76"/>
      <c r="AD83" s="77"/>
      <c r="AE83" s="78"/>
    </row>
    <row r="84" spans="1:31" x14ac:dyDescent="0.35">
      <c r="B84" s="134" t="s">
        <v>110</v>
      </c>
      <c r="C84" s="4" t="s">
        <v>111</v>
      </c>
      <c r="D84" s="12">
        <v>3600</v>
      </c>
      <c r="E84" s="15">
        <v>3600</v>
      </c>
      <c r="F84" s="12">
        <v>2700</v>
      </c>
      <c r="G84" s="20">
        <f t="shared" si="7"/>
        <v>3600</v>
      </c>
      <c r="H84" s="15">
        <v>300</v>
      </c>
      <c r="I84" s="19" t="s">
        <v>42</v>
      </c>
      <c r="J84" s="12">
        <v>2700</v>
      </c>
      <c r="K84" s="12"/>
      <c r="L84" s="20">
        <f>IF(I84="",0,IF(K84&gt;0,0,IF(I84="A",H84,IF(I84="M",H84*12,IF(I84="W",H84*(Lookups!$B$9+1),IF(I84="B",H84*(+Lookups!$B$10),IF(I84="S",H84*2,IF(AND(H84=0,K84&gt;0),K84,"ERROR"))))))))</f>
        <v>3600</v>
      </c>
      <c r="M84" s="15">
        <v>300</v>
      </c>
      <c r="N84" s="19" t="s">
        <v>42</v>
      </c>
      <c r="O84" s="12">
        <v>2400</v>
      </c>
      <c r="P84" s="12"/>
      <c r="Q84" s="20">
        <f>IF(N84="",0,IF(P84&gt;0,0,IF(N84="A",M84,IF(N84="M",M84*12,IF(N84="W",M84*(Lookups!$B$9),IF(N84="B",M84*(+Lookups!$B$10),IF(N84="S",M84*2,IF(AND(M84=0,P84&gt;0),P84,"ERROR"))))))))</f>
        <v>3600</v>
      </c>
      <c r="R84" s="15"/>
      <c r="S84" s="19"/>
      <c r="T84" s="12">
        <f>300*12</f>
        <v>3600</v>
      </c>
      <c r="U84" s="20">
        <f>IF(R84="",0,IF(T84&gt;0,0,IF(S84="A",R84,IF(S84="M",R84*12,IF(S84="W",R84*Lookups!B$9,IF(S84="B",R84*+Lookups!B$10,IF(S84="S",R84*2,IF(AND(R84=0,T84&gt;0),T84,"ERROR"))))))))</f>
        <v>0</v>
      </c>
      <c r="V84" s="130">
        <f>IF(OR(AND(Q84=0,H84=0),P84&gt;0),"",IF(AND(I84="W",N84="W"),ROUND(Q84-(H84*Lookups!$B$9),0),ROUND(+Q84-L84,0)))</f>
        <v>0</v>
      </c>
      <c r="W84" s="75" t="str">
        <f t="shared" si="8"/>
        <v>S</v>
      </c>
      <c r="X84" s="123" t="str">
        <f t="shared" si="10"/>
        <v>N</v>
      </c>
      <c r="Y84" s="123" t="str">
        <f t="shared" si="9"/>
        <v/>
      </c>
      <c r="Z84" s="121"/>
      <c r="AA84" s="52" t="s">
        <v>445</v>
      </c>
    </row>
    <row r="85" spans="1:31" x14ac:dyDescent="0.35">
      <c r="A85" s="139" t="s">
        <v>638</v>
      </c>
      <c r="B85" s="79" t="s">
        <v>264</v>
      </c>
      <c r="C85" s="80" t="s">
        <v>265</v>
      </c>
      <c r="D85" s="81">
        <v>295</v>
      </c>
      <c r="E85" s="82"/>
      <c r="F85" s="81">
        <v>60</v>
      </c>
      <c r="G85" s="83">
        <f t="shared" si="7"/>
        <v>60</v>
      </c>
      <c r="H85" s="82"/>
      <c r="I85" s="84"/>
      <c r="J85" s="81"/>
      <c r="K85" s="81"/>
      <c r="L85" s="83">
        <f>IF(I85="",0,IF(K85&gt;0,0,IF(I85="A",H85,IF(I85="M",H85*12,IF(I85="W",H85*(Lookups!$B$9+1),IF(I85="B",H85*(+Lookups!$B$10),IF(I85="S",H85*2,IF(AND(H85=0,K85&gt;0),K85,"ERROR"))))))))</f>
        <v>0</v>
      </c>
      <c r="M85" s="82"/>
      <c r="N85" s="84"/>
      <c r="O85" s="81">
        <v>0</v>
      </c>
      <c r="P85" s="81"/>
      <c r="Q85" s="83">
        <f>IF(N85="",0,IF(P85&gt;0,0,IF(N85="A",M85,IF(N85="M",M85*12,IF(N85="W",M85*(Lookups!$B$9),IF(N85="B",M85*(+Lookups!$B$10),IF(N85="S",M85*2,IF(AND(M85=0,P85&gt;0),P85,"ERROR"))))))))</f>
        <v>0</v>
      </c>
      <c r="R85" s="82"/>
      <c r="S85" s="84"/>
      <c r="T85" s="81"/>
      <c r="U85" s="83">
        <f>IF(R85="",0,IF(T85&gt;0,0,IF(S85="A",R85,IF(S85="M",R85*12,IF(S85="W",R85*Lookups!B$9,IF(S85="B",R85*+Lookups!B$10,IF(S85="S",R85*2,IF(AND(R85=0,T85&gt;0),T85,"ERROR"))))))))</f>
        <v>0</v>
      </c>
      <c r="V85" s="85" t="str">
        <f>IF(OR(AND(Q85=0,H85=0),P85&gt;0),"",IF(AND(I85="W",N85="W"),ROUND(Q85-(H85*Lookups!$B$9),0),ROUND(+Q85-L85,0)))</f>
        <v/>
      </c>
      <c r="W85" s="86" t="str">
        <f t="shared" si="8"/>
        <v/>
      </c>
      <c r="X85" s="123" t="str">
        <f t="shared" si="10"/>
        <v/>
      </c>
      <c r="Y85" s="123" t="str">
        <f t="shared" si="9"/>
        <v/>
      </c>
      <c r="Z85" s="124"/>
      <c r="AA85" s="87"/>
      <c r="AB85" s="87"/>
      <c r="AC85" s="87"/>
      <c r="AD85" s="88"/>
      <c r="AE85" s="89"/>
    </row>
    <row r="86" spans="1:31" x14ac:dyDescent="0.35">
      <c r="B86" s="21" t="s">
        <v>266</v>
      </c>
      <c r="C86" s="4" t="s">
        <v>267</v>
      </c>
      <c r="D86" s="12">
        <v>80</v>
      </c>
      <c r="E86" s="15"/>
      <c r="F86" s="12">
        <v>20</v>
      </c>
      <c r="G86" s="20">
        <f t="shared" si="7"/>
        <v>20</v>
      </c>
      <c r="H86" s="15"/>
      <c r="I86" s="19"/>
      <c r="J86" s="12">
        <v>110</v>
      </c>
      <c r="K86" s="12"/>
      <c r="L86" s="20">
        <f>IF(I86="",0,IF(K86&gt;0,0,IF(I86="A",H86,IF(I86="M",H86*12,IF(I86="W",H86*(Lookups!$B$9+1),IF(I86="B",H86*(+Lookups!$B$10),IF(I86="S",H86*2,IF(AND(H86=0,K86&gt;0),K86,"ERROR"))))))))</f>
        <v>0</v>
      </c>
      <c r="M86" s="15"/>
      <c r="N86" s="19"/>
      <c r="O86" s="12">
        <v>849</v>
      </c>
      <c r="P86" s="12">
        <v>1000</v>
      </c>
      <c r="Q86" s="20">
        <f>IF(N86="",0,IF(P86&gt;0,0,IF(N86="A",M86,IF(N86="M",M86*12,IF(N86="W",M86*(Lookups!$B$9),IF(N86="B",M86*(+Lookups!$B$10),IF(N86="S",M86*2,IF(AND(M86=0,P86&gt;0),P86,"ERROR"))))))))</f>
        <v>0</v>
      </c>
      <c r="R86" s="15"/>
      <c r="S86" s="19"/>
      <c r="T86" s="12">
        <v>400</v>
      </c>
      <c r="U86" s="20">
        <f>IF(R86="",0,IF(T86&gt;0,0,IF(S86="A",R86,IF(S86="M",R86*12,IF(S86="W",R86*Lookups!B$9,IF(S86="B",R86*+Lookups!B$10,IF(S86="S",R86*2,IF(AND(R86=0,T86&gt;0),T86,"ERROR"))))))))</f>
        <v>0</v>
      </c>
      <c r="V86" s="130" t="str">
        <f>IF(OR(AND(Q86=0,H86=0),P86&gt;0),"",IF(AND(I86="W",N86="W"),ROUND(Q86-(H86*Lookups!$B$9),0),ROUND(+Q86-L86,0)))</f>
        <v/>
      </c>
      <c r="W86" s="75" t="str">
        <f t="shared" si="8"/>
        <v>E</v>
      </c>
      <c r="X86" s="123" t="str">
        <f t="shared" si="10"/>
        <v/>
      </c>
      <c r="Y86" s="123" t="str">
        <f t="shared" si="9"/>
        <v>Y</v>
      </c>
      <c r="Z86" s="121"/>
    </row>
    <row r="87" spans="1:31" x14ac:dyDescent="0.35">
      <c r="B87" s="21" t="s">
        <v>268</v>
      </c>
      <c r="C87" s="4" t="s">
        <v>269</v>
      </c>
      <c r="D87" s="12">
        <v>900</v>
      </c>
      <c r="E87" s="15"/>
      <c r="F87" s="12">
        <v>675</v>
      </c>
      <c r="G87" s="20">
        <f t="shared" si="7"/>
        <v>675</v>
      </c>
      <c r="H87" s="15"/>
      <c r="I87" s="19"/>
      <c r="J87" s="12">
        <v>675</v>
      </c>
      <c r="K87" s="12">
        <v>700</v>
      </c>
      <c r="L87" s="20">
        <f>IF(I87="",0,IF(K87&gt;0,0,IF(I87="A",H87,IF(I87="M",H87*12,IF(I87="W",H87*(Lookups!$B$9+1),IF(I87="B",H87*(+Lookups!$B$10),IF(I87="S",H87*2,IF(AND(H87=0,K87&gt;0),K87,"ERROR"))))))))</f>
        <v>0</v>
      </c>
      <c r="M87" s="15"/>
      <c r="N87" s="19"/>
      <c r="O87" s="12">
        <v>600</v>
      </c>
      <c r="P87" s="12">
        <f>75*12</f>
        <v>900</v>
      </c>
      <c r="Q87" s="20">
        <f>IF(N87="",0,IF(P87&gt;0,0,IF(N87="A",M87,IF(N87="M",M87*12,IF(N87="W",M87*(Lookups!$B$9),IF(N87="B",M87*(+Lookups!$B$10),IF(N87="S",M87*2,IF(AND(M87=0,P87&gt;0),P87,"ERROR"))))))))</f>
        <v>0</v>
      </c>
      <c r="R87" s="15"/>
      <c r="S87" s="19"/>
      <c r="T87" s="12">
        <f>75*12</f>
        <v>900</v>
      </c>
      <c r="U87" s="20">
        <f>IF(R87="",0,IF(T87&gt;0,0,IF(S87="A",R87,IF(S87="M",R87*12,IF(S87="W",R87*Lookups!B$9,IF(S87="B",R87*+Lookups!B$10,IF(S87="S",R87*2,IF(AND(R87=0,T87&gt;0),T87,"ERROR"))))))))</f>
        <v>0</v>
      </c>
      <c r="V87" s="130" t="str">
        <f>IF(OR(AND(Q87=0,H87=0),P87&gt;0),"",IF(AND(I87="W",N87="W"),ROUND(Q87-(H87*Lookups!$B$9),0),ROUND(+Q87-L87,0)))</f>
        <v/>
      </c>
      <c r="W87" s="75" t="str">
        <f t="shared" si="8"/>
        <v>E</v>
      </c>
      <c r="X87" s="123" t="str">
        <f t="shared" si="10"/>
        <v/>
      </c>
      <c r="Y87" s="123" t="str">
        <f t="shared" si="9"/>
        <v>Y</v>
      </c>
      <c r="Z87" s="121"/>
    </row>
    <row r="88" spans="1:31" x14ac:dyDescent="0.35">
      <c r="B88" s="21" t="s">
        <v>645</v>
      </c>
      <c r="C88" s="4" t="s">
        <v>646</v>
      </c>
      <c r="D88" s="12"/>
      <c r="E88" s="15"/>
      <c r="F88" s="12"/>
      <c r="G88" s="20"/>
      <c r="H88" s="15"/>
      <c r="I88" s="19"/>
      <c r="J88" s="12"/>
      <c r="K88" s="12"/>
      <c r="L88" s="20"/>
      <c r="M88" s="15"/>
      <c r="N88" s="19"/>
      <c r="O88" s="12">
        <v>575</v>
      </c>
      <c r="P88" s="12">
        <v>800</v>
      </c>
      <c r="Q88" s="20">
        <f>IF(N87="",0,IF(P87&gt;0,0,IF(N87="A",M87,IF(N87="M",M87*12,IF(N87="W",M87*(Lookups!$B$9),IF(N87="B",M87*(+Lookups!$B$10),IF(N87="S",M87*2,IF(AND(M87=0,P87&gt;0),P87,"ERROR"))))))))</f>
        <v>0</v>
      </c>
      <c r="R88" s="15"/>
      <c r="S88" s="19"/>
      <c r="T88" s="12"/>
      <c r="U88" s="20">
        <f>IF(R88="",0,IF(T88&gt;0,0,IF(S88="A",R88,IF(S88="M",R88*12,IF(S88="W",R88*Lookups!B$9,IF(S88="B",R88*+Lookups!B$10,IF(S88="S",R88*2,IF(AND(R88=0,T88&gt;0),T88,"ERROR"))))))))</f>
        <v>0</v>
      </c>
      <c r="V88" s="130" t="str">
        <f>IF(OR(AND(Q88=0,H88=0),P88&gt;0),"",IF(AND(I88="W",N88="W"),ROUND(Q88-(H88*Lookups!$B$9),0),ROUND(+Q88-L88,0)))</f>
        <v/>
      </c>
      <c r="W88" s="75" t="str">
        <f t="shared" si="8"/>
        <v>E</v>
      </c>
      <c r="X88" s="123" t="str">
        <f t="shared" si="10"/>
        <v/>
      </c>
      <c r="Y88" s="123" t="str">
        <f t="shared" si="9"/>
        <v>Y</v>
      </c>
      <c r="Z88" s="121"/>
    </row>
    <row r="89" spans="1:31" x14ac:dyDescent="0.35">
      <c r="B89" s="134" t="s">
        <v>112</v>
      </c>
      <c r="C89" s="4" t="s">
        <v>113</v>
      </c>
      <c r="D89" s="12">
        <v>1150</v>
      </c>
      <c r="E89" s="15">
        <v>1000</v>
      </c>
      <c r="F89" s="12">
        <v>400</v>
      </c>
      <c r="G89" s="20">
        <f t="shared" si="7"/>
        <v>400</v>
      </c>
      <c r="H89" s="15">
        <v>1200</v>
      </c>
      <c r="I89" s="19" t="s">
        <v>38</v>
      </c>
      <c r="J89" s="12">
        <v>350</v>
      </c>
      <c r="K89" s="12"/>
      <c r="L89" s="20">
        <f>IF(I89="",0,IF(K89&gt;0,0,IF(I89="A",H89,IF(I89="M",H89*12,IF(I89="W",H89*(Lookups!$B$9+1),IF(I89="B",H89*(+Lookups!$B$10),IF(I89="S",H89*2,IF(AND(H89=0,K89&gt;0),K89,"ERROR"))))))))</f>
        <v>1200</v>
      </c>
      <c r="M89" s="15"/>
      <c r="N89" s="19"/>
      <c r="O89" s="12">
        <v>20</v>
      </c>
      <c r="P89" s="12">
        <v>20</v>
      </c>
      <c r="Q89" s="20">
        <f>IF(N88="",0,IF(P88&gt;0,0,IF(N88="A",M88,IF(N88="M",M88*12,IF(N88="W",M88*(Lookups!$B$9),IF(N88="B",M88*(+Lookups!$B$10),IF(N88="S",M88*2,IF(AND(M88=0,P88&gt;0),P88,"ERROR"))))))))</f>
        <v>0</v>
      </c>
      <c r="R89" s="15"/>
      <c r="S89" s="19"/>
      <c r="T89" s="12">
        <v>500</v>
      </c>
      <c r="U89" s="20">
        <f>IF(R89="",0,IF(T89&gt;0,0,IF(S89="A",R89,IF(S89="M",R89*12,IF(S89="W",R89*Lookups!B$9,IF(S89="B",R89*+Lookups!B$10,IF(S89="S",R89*2,IF(AND(R89=0,T89&gt;0),T89,"ERROR"))))))))</f>
        <v>0</v>
      </c>
      <c r="V89" s="130" t="str">
        <f>IF(OR(AND(Q89=0,H89=0),P89&gt;0),"",IF(AND(I89="W",N89="W"),ROUND(Q89-(H89*Lookups!$B$9),0),ROUND(+Q89-L89,0)))</f>
        <v/>
      </c>
      <c r="W89" s="75" t="str">
        <f t="shared" si="8"/>
        <v>E</v>
      </c>
      <c r="X89" s="123" t="str">
        <f t="shared" si="10"/>
        <v/>
      </c>
      <c r="Y89" s="123" t="str">
        <f t="shared" si="9"/>
        <v>Y</v>
      </c>
      <c r="Z89" s="121"/>
      <c r="AA89" s="52" t="s">
        <v>446</v>
      </c>
      <c r="AB89" s="53" t="s">
        <v>447</v>
      </c>
      <c r="AC89" s="53" t="s">
        <v>394</v>
      </c>
      <c r="AD89" s="54" t="s">
        <v>395</v>
      </c>
      <c r="AE89" s="55">
        <v>53406</v>
      </c>
    </row>
    <row r="90" spans="1:31" ht="15" customHeight="1" x14ac:dyDescent="0.35">
      <c r="B90" s="134" t="s">
        <v>114</v>
      </c>
      <c r="C90" s="4" t="s">
        <v>115</v>
      </c>
      <c r="D90" s="12">
        <v>1200</v>
      </c>
      <c r="E90" s="15">
        <v>1200</v>
      </c>
      <c r="F90" s="12">
        <v>600</v>
      </c>
      <c r="G90" s="20">
        <f t="shared" si="7"/>
        <v>600</v>
      </c>
      <c r="H90" s="15">
        <v>100</v>
      </c>
      <c r="I90" s="19" t="s">
        <v>42</v>
      </c>
      <c r="J90" s="12">
        <v>600</v>
      </c>
      <c r="K90" s="12"/>
      <c r="L90" s="20">
        <f>IF(I90="",0,IF(K90&gt;0,0,IF(I90="A",H90,IF(I90="M",H90*12,IF(I90="W",H90*(Lookups!$B$9+1),IF(I90="B",H90*(+Lookups!$B$10),IF(I90="S",H90*2,IF(AND(H90=0,K90&gt;0),K90,"ERROR"))))))))</f>
        <v>1200</v>
      </c>
      <c r="M90" s="15">
        <v>100</v>
      </c>
      <c r="N90" s="19" t="s">
        <v>42</v>
      </c>
      <c r="O90" s="12">
        <v>300</v>
      </c>
      <c r="P90" s="12"/>
      <c r="Q90" s="167">
        <f>IF(N90="",0,IF(P90&gt;0,0,IF(N90="A",M90,IF(N90="M",M90*12,IF(N90="W",M90*(Lookups!$B$9),IF(N90="B",M90*(+Lookups!$B$10),IF(N90="S",M90*2,IF(AND(M90=0,P90&gt;0),P90,"ERROR"))))))))</f>
        <v>1200</v>
      </c>
      <c r="R90" s="15"/>
      <c r="S90" s="19"/>
      <c r="T90" s="12">
        <f>66.6666666666667*12</f>
        <v>800.00000000000045</v>
      </c>
      <c r="U90" s="20">
        <f>IF(R90="",0,IF(T90&gt;0,0,IF(S90="A",R90,IF(S90="M",R90*12,IF(S90="W",R90*Lookups!B$9,IF(S90="B",R90*+Lookups!B$10,IF(S90="S",R90*2,IF(AND(R90=0,T90&gt;0),T90,"ERROR"))))))))</f>
        <v>0</v>
      </c>
      <c r="V90" s="130">
        <f>IF(OR(AND(Q90=0,H90=0),P90&gt;0),"",IF(AND(I90="W",N90="W"),ROUND(Q90-(H90*Lookups!$B$9),0),ROUND(+Q90-L90,0)))</f>
        <v>0</v>
      </c>
      <c r="W90" s="75" t="str">
        <f t="shared" si="8"/>
        <v>S</v>
      </c>
      <c r="X90" s="123" t="str">
        <f t="shared" si="10"/>
        <v>N</v>
      </c>
      <c r="Y90" s="123" t="str">
        <f t="shared" si="9"/>
        <v/>
      </c>
      <c r="Z90" s="121"/>
    </row>
    <row r="91" spans="1:31" ht="15" customHeight="1" x14ac:dyDescent="0.35">
      <c r="A91" s="139" t="s">
        <v>638</v>
      </c>
      <c r="B91" s="21" t="s">
        <v>623</v>
      </c>
      <c r="C91" s="4" t="s">
        <v>624</v>
      </c>
      <c r="D91" s="12"/>
      <c r="E91" s="15"/>
      <c r="F91" s="12"/>
      <c r="G91" s="20">
        <f t="shared" si="7"/>
        <v>0</v>
      </c>
      <c r="H91" s="15"/>
      <c r="I91" s="19"/>
      <c r="J91" s="12">
        <v>20</v>
      </c>
      <c r="K91" s="12"/>
      <c r="L91" s="20">
        <f>IF(I91="",0,IF(K91&gt;0,0,IF(I91="A",H91,IF(I91="M",H91*12,IF(I91="W",H91*(Lookups!$B$9+1),IF(I91="B",H91*(+Lookups!$B$10),IF(I91="S",H91*2,IF(AND(H91=0,K91&gt;0),K91,"ERROR"))))))))</f>
        <v>0</v>
      </c>
      <c r="M91" s="15"/>
      <c r="N91" s="19"/>
      <c r="O91" s="12">
        <v>0</v>
      </c>
      <c r="P91" s="12"/>
      <c r="Q91" s="20">
        <f>IF(N91="",0,IF(P91&gt;0,0,IF(N91="A",M91,IF(N91="M",M91*12,IF(N91="W",M91*(Lookups!$B$9),IF(N91="B",M91*(+Lookups!$B$10),IF(N91="S",M91*2,IF(AND(M91=0,P91&gt;0),P91,"ERROR"))))))))</f>
        <v>0</v>
      </c>
      <c r="R91" s="15"/>
      <c r="S91" s="19"/>
      <c r="T91" s="12"/>
      <c r="U91" s="20">
        <f>IF(R91="",0,IF(T91&gt;0,0,IF(S91="A",R91,IF(S91="M",R91*12,IF(S91="W",R91*Lookups!B$9,IF(S91="B",R91*+Lookups!B$10,IF(S91="S",R91*2,IF(AND(R91=0,T91&gt;0),T91,"ERROR"))))))))</f>
        <v>0</v>
      </c>
      <c r="V91" s="130" t="str">
        <f>IF(OR(AND(Q91=0,H91=0),P91&gt;0),"",IF(AND(I91="W",N91="W"),ROUND(Q91-(H91*Lookups!$B$9),0),ROUND(+Q91-L91,0)))</f>
        <v/>
      </c>
      <c r="W91" s="75" t="str">
        <f t="shared" si="8"/>
        <v/>
      </c>
      <c r="X91" s="123" t="str">
        <f t="shared" si="10"/>
        <v/>
      </c>
      <c r="Y91" s="123" t="str">
        <f t="shared" si="9"/>
        <v/>
      </c>
      <c r="Z91" s="121"/>
    </row>
    <row r="92" spans="1:31" x14ac:dyDescent="0.35">
      <c r="B92" s="134" t="s">
        <v>116</v>
      </c>
      <c r="C92" s="4" t="s">
        <v>117</v>
      </c>
      <c r="D92" s="12">
        <v>250</v>
      </c>
      <c r="E92" s="15">
        <v>250</v>
      </c>
      <c r="F92" s="12">
        <v>250</v>
      </c>
      <c r="G92" s="20">
        <f t="shared" si="7"/>
        <v>250</v>
      </c>
      <c r="H92" s="15">
        <v>250</v>
      </c>
      <c r="I92" s="19" t="s">
        <v>38</v>
      </c>
      <c r="J92" s="12">
        <v>250</v>
      </c>
      <c r="K92" s="12"/>
      <c r="L92" s="20">
        <f>IF(I92="",0,IF(K92&gt;0,0,IF(I92="A",H92,IF(I92="M",H92*12,IF(I92="W",H92*(Lookups!$B$9+1),IF(I92="B",H92*(+Lookups!$B$10),IF(I92="S",H92*2,IF(AND(H92=0,K92&gt;0),K92,"ERROR"))))))))</f>
        <v>250</v>
      </c>
      <c r="M92" s="15"/>
      <c r="N92" s="19"/>
      <c r="O92" s="12">
        <v>500</v>
      </c>
      <c r="P92" s="12">
        <v>500</v>
      </c>
      <c r="Q92" s="20">
        <f>IF(N92="",0,IF(P92&gt;0,0,IF(N92="A",M92,IF(N92="M",M92*12,IF(N92="W",M92*(Lookups!$B$9),IF(N92="B",M92*(+Lookups!$B$10),IF(N92="S",M92*2,IF(AND(M92=0,P92&gt;0),P92,"ERROR"))))))))</f>
        <v>0</v>
      </c>
      <c r="R92" s="15"/>
      <c r="S92" s="19"/>
      <c r="T92" s="12">
        <v>250</v>
      </c>
      <c r="U92" s="20">
        <f>IF(R92="",0,IF(T92&gt;0,0,IF(S92="A",R92,IF(S92="M",R92*12,IF(S92="W",R92*Lookups!B$9,IF(S92="B",R92*+Lookups!B$10,IF(S92="S",R92*2,IF(AND(R92=0,T92&gt;0),T92,"ERROR"))))))))</f>
        <v>0</v>
      </c>
      <c r="V92" s="130" t="str">
        <f>IF(OR(AND(Q92=0,H92=0),P92&gt;0),"",IF(AND(I92="W",N92="W"),ROUND(Q92-(H92*Lookups!$B$9),0),ROUND(+Q92-L92,0)))</f>
        <v/>
      </c>
      <c r="W92" s="75" t="str">
        <f t="shared" si="8"/>
        <v>E</v>
      </c>
      <c r="X92" s="123" t="str">
        <f t="shared" si="10"/>
        <v/>
      </c>
      <c r="Y92" s="123" t="str">
        <f t="shared" si="9"/>
        <v>Y</v>
      </c>
      <c r="Z92" s="121"/>
    </row>
    <row r="93" spans="1:31" x14ac:dyDescent="0.35">
      <c r="B93" s="21" t="s">
        <v>118</v>
      </c>
      <c r="C93" s="4" t="s">
        <v>119</v>
      </c>
      <c r="D93" s="12">
        <v>1200</v>
      </c>
      <c r="E93" s="15">
        <v>1200</v>
      </c>
      <c r="F93" s="12">
        <v>1300</v>
      </c>
      <c r="G93" s="20">
        <f t="shared" si="7"/>
        <v>1300</v>
      </c>
      <c r="H93" s="15">
        <v>1200</v>
      </c>
      <c r="I93" s="19" t="s">
        <v>38</v>
      </c>
      <c r="J93" s="12">
        <v>1200</v>
      </c>
      <c r="K93" s="12"/>
      <c r="L93" s="20">
        <f>IF(I93="",0,IF(K93&gt;0,0,IF(I93="A",H93,IF(I93="M",H93*12,IF(I93="W",H93*(Lookups!$B$9+1),IF(I93="B",H93*(+Lookups!$B$10),IF(I93="S",H93*2,IF(AND(H93=0,K93&gt;0),K93,"ERROR"))))))))</f>
        <v>1200</v>
      </c>
      <c r="M93" s="15">
        <v>1200</v>
      </c>
      <c r="N93" s="19" t="s">
        <v>38</v>
      </c>
      <c r="O93" s="12">
        <v>0</v>
      </c>
      <c r="P93" s="12"/>
      <c r="Q93" s="20">
        <f>IF(N93="",0,IF(P93&gt;0,0,IF(N93="A",M93,IF(N93="M",M93*12,IF(N93="W",M93*(Lookups!$B$9),IF(N93="B",M93*(+Lookups!$B$10),IF(N93="S",M93*2,IF(AND(M93=0,P93&gt;0),P93,"ERROR"))))))))</f>
        <v>1200</v>
      </c>
      <c r="R93" s="15">
        <v>1200</v>
      </c>
      <c r="S93" s="19" t="s">
        <v>38</v>
      </c>
      <c r="T93" s="12"/>
      <c r="U93" s="20">
        <f>IF(R93="",0,IF(T93&gt;0,0,IF(S93="A",R93,IF(S93="M",R93*12,IF(S93="W",R93*Lookups!B$9,IF(S93="B",R93*+Lookups!B$10,IF(S93="S",R93*2,IF(AND(R93=0,T93&gt;0),T93,"ERROR"))))))))</f>
        <v>1200</v>
      </c>
      <c r="V93" s="130">
        <f>IF(OR(AND(Q93=0,H93=0),P93&gt;0),"",IF(AND(I93="W",N93="W"),ROUND(Q93-(H93*Lookups!$B$9),0),ROUND(+Q93-L93,0)))</f>
        <v>0</v>
      </c>
      <c r="W93" s="75" t="str">
        <f t="shared" si="8"/>
        <v>S</v>
      </c>
      <c r="X93" s="123" t="str">
        <f t="shared" si="10"/>
        <v>N</v>
      </c>
      <c r="Y93" s="123" t="str">
        <f t="shared" si="9"/>
        <v/>
      </c>
      <c r="Z93" s="121"/>
      <c r="AA93" s="52" t="s">
        <v>448</v>
      </c>
      <c r="AB93" s="53" t="s">
        <v>449</v>
      </c>
      <c r="AC93" s="53" t="s">
        <v>394</v>
      </c>
      <c r="AD93" s="54" t="s">
        <v>395</v>
      </c>
      <c r="AE93" s="55">
        <v>53406</v>
      </c>
    </row>
    <row r="94" spans="1:31" x14ac:dyDescent="0.35">
      <c r="B94" s="21" t="s">
        <v>120</v>
      </c>
      <c r="C94" s="4" t="s">
        <v>117</v>
      </c>
      <c r="D94" s="12">
        <v>2100</v>
      </c>
      <c r="E94" s="15">
        <v>2280</v>
      </c>
      <c r="F94" s="12">
        <v>1710</v>
      </c>
      <c r="G94" s="20">
        <f t="shared" si="7"/>
        <v>2280</v>
      </c>
      <c r="H94" s="15">
        <v>190</v>
      </c>
      <c r="I94" s="19" t="s">
        <v>42</v>
      </c>
      <c r="J94" s="12">
        <v>1720</v>
      </c>
      <c r="K94" s="12"/>
      <c r="L94" s="20">
        <f>IF(I94="",0,IF(K94&gt;0,0,IF(I94="A",H94,IF(I94="M",H94*12,IF(I94="W",H94*(Lookups!$B$9+1),IF(I94="B",H94*(+Lookups!$B$10),IF(I94="S",H94*2,IF(AND(H94=0,K94&gt;0),K94,"ERROR"))))))))</f>
        <v>2280</v>
      </c>
      <c r="M94" s="15">
        <v>200</v>
      </c>
      <c r="N94" s="19" t="s">
        <v>42</v>
      </c>
      <c r="O94" s="12">
        <v>1600</v>
      </c>
      <c r="P94" s="12"/>
      <c r="Q94" s="20">
        <f>IF(N94="",0,IF(P94&gt;0,0,IF(N94="A",M94,IF(N94="M",M94*12,IF(N94="W",M94*(Lookups!$B$9),IF(N94="B",M94*(+Lookups!$B$10),IF(N94="S",M94*2,IF(AND(M94=0,P94&gt;0),P94,"ERROR"))))))))</f>
        <v>2400</v>
      </c>
      <c r="R94" s="15">
        <v>200</v>
      </c>
      <c r="S94" s="19" t="s">
        <v>42</v>
      </c>
      <c r="T94" s="12"/>
      <c r="U94" s="20">
        <f>IF(R94="",0,IF(T94&gt;0,0,IF(S94="A",R94,IF(S94="M",R94*12,IF(S94="W",R94*Lookups!B$9,IF(S94="B",R94*+Lookups!B$10,IF(S94="S",R94*2,IF(AND(R94=0,T94&gt;0),T94,"ERROR"))))))))</f>
        <v>2400</v>
      </c>
      <c r="V94" s="130">
        <f>IF(OR(AND(Q94=0,H94=0),P94&gt;0),"",IF(AND(I94="W",N94="W"),ROUND(Q94-(H94*Lookups!$B$9),0),ROUND(+Q94-L94,0)))</f>
        <v>120</v>
      </c>
      <c r="W94" s="75" t="str">
        <f t="shared" si="8"/>
        <v>I</v>
      </c>
      <c r="X94" s="123" t="str">
        <f t="shared" si="10"/>
        <v>N</v>
      </c>
      <c r="Y94" s="123" t="str">
        <f t="shared" si="9"/>
        <v/>
      </c>
      <c r="Z94" s="121"/>
      <c r="AA94" s="52" t="s">
        <v>450</v>
      </c>
      <c r="AB94" s="53" t="s">
        <v>451</v>
      </c>
      <c r="AC94" s="53" t="s">
        <v>394</v>
      </c>
      <c r="AD94" s="54" t="s">
        <v>395</v>
      </c>
      <c r="AE94" s="55">
        <v>53406</v>
      </c>
    </row>
    <row r="95" spans="1:31" ht="29" x14ac:dyDescent="0.35">
      <c r="B95" s="21" t="s">
        <v>121</v>
      </c>
      <c r="C95" s="4" t="s">
        <v>122</v>
      </c>
      <c r="D95" s="12">
        <v>4420</v>
      </c>
      <c r="E95" s="15">
        <v>4680</v>
      </c>
      <c r="F95" s="12">
        <v>3510</v>
      </c>
      <c r="G95" s="20">
        <f t="shared" si="7"/>
        <v>4680</v>
      </c>
      <c r="H95" s="15">
        <v>95</v>
      </c>
      <c r="I95" s="19" t="s">
        <v>41</v>
      </c>
      <c r="J95" s="12">
        <v>3705</v>
      </c>
      <c r="K95" s="12"/>
      <c r="L95" s="20">
        <f>IF(I95="",0,IF(K95&gt;0,0,IF(I95="A",H95,IF(I95="M",H95*12,IF(I95="W",H95*(Lookups!$B$9+1),IF(I95="B",H95*(+Lookups!$B$10),IF(I95="S",H95*2,IF(AND(H95=0,K95&gt;0),K95,"ERROR"))))))))</f>
        <v>5035</v>
      </c>
      <c r="M95" s="15">
        <v>100</v>
      </c>
      <c r="N95" s="19" t="s">
        <v>41</v>
      </c>
      <c r="O95" s="12">
        <v>3495</v>
      </c>
      <c r="P95" s="12"/>
      <c r="Q95" s="20">
        <f>IF(N95="",0,IF(P95&gt;0,0,IF(N95="A",M95,IF(N95="M",M95*12,IF(N95="W",M95*(Lookups!$B$9),IF(N95="B",M95*(+Lookups!$B$10),IF(N95="S",M95*2,IF(AND(M95=0,P95&gt;0),P95,"ERROR"))))))))</f>
        <v>5200</v>
      </c>
      <c r="R95" s="15">
        <v>100</v>
      </c>
      <c r="S95" s="19" t="s">
        <v>41</v>
      </c>
      <c r="T95" s="12"/>
      <c r="U95" s="20">
        <f>IF(R95="",0,IF(T95&gt;0,0,IF(S95="A",R95,IF(S95="M",R95*12,IF(S95="W",R95*Lookups!B$9,IF(S95="B",R95*+Lookups!B$10,IF(S95="S",R95*2,IF(AND(R95=0,T95&gt;0),T95,"ERROR"))))))))</f>
        <v>5200</v>
      </c>
      <c r="V95" s="130">
        <f>IF(OR(AND(Q95=0,H95=0),P95&gt;0),"",IF(AND(I95="W",N95="W"),ROUND(Q95-(H95*Lookups!$B$9),0),ROUND(+Q95-L95,0)))</f>
        <v>260</v>
      </c>
      <c r="W95" s="75" t="str">
        <f t="shared" si="8"/>
        <v>I</v>
      </c>
      <c r="X95" s="123" t="str">
        <f t="shared" si="10"/>
        <v>N</v>
      </c>
      <c r="Y95" s="123" t="str">
        <f t="shared" si="9"/>
        <v/>
      </c>
      <c r="Z95" s="121"/>
      <c r="AA95" s="118" t="s">
        <v>555</v>
      </c>
      <c r="AB95" s="53" t="s">
        <v>452</v>
      </c>
      <c r="AC95" s="53" t="s">
        <v>418</v>
      </c>
      <c r="AD95" s="54" t="s">
        <v>395</v>
      </c>
      <c r="AE95" s="55">
        <v>53405</v>
      </c>
    </row>
    <row r="96" spans="1:31" x14ac:dyDescent="0.35">
      <c r="B96" s="21" t="s">
        <v>647</v>
      </c>
      <c r="C96" s="4" t="s">
        <v>648</v>
      </c>
      <c r="D96" s="12"/>
      <c r="E96" s="15"/>
      <c r="F96" s="12"/>
      <c r="G96" s="20"/>
      <c r="H96" s="15"/>
      <c r="I96" s="19"/>
      <c r="J96" s="12"/>
      <c r="K96" s="12"/>
      <c r="L96" s="20"/>
      <c r="M96" s="15"/>
      <c r="N96" s="19"/>
      <c r="O96" s="12">
        <v>1.4</v>
      </c>
      <c r="P96" s="12">
        <v>1.4</v>
      </c>
      <c r="Q96" s="20">
        <f>IF(N96="",0,IF(P96&gt;0,0,IF(N96="A",M96,IF(N96="M",M96*12,IF(N96="W",M96*(Lookups!$B$9),IF(N96="B",M96*(+Lookups!$B$10),IF(N96="S",M96*2,IF(AND(M96=0,P96&gt;0),P96,"ERROR"))))))))</f>
        <v>0</v>
      </c>
      <c r="R96" s="15"/>
      <c r="S96" s="19"/>
      <c r="T96" s="12"/>
      <c r="U96" s="20">
        <f>IF(R96="",0,IF(T96&gt;0,0,IF(S96="A",R96,IF(S96="M",R96*12,IF(S96="W",R96*Lookups!B$9,IF(S96="B",R96*+Lookups!B$10,IF(S96="S",R96*2,IF(AND(R96=0,T96&gt;0),T96,"ERROR"))))))))</f>
        <v>0</v>
      </c>
      <c r="V96" s="130" t="str">
        <f>IF(OR(AND(Q96=0,H96=0),P96&gt;0),"",IF(AND(I96="W",N96="W"),ROUND(Q96-(H96*Lookups!$B$9),0),ROUND(+Q96-L96,0)))</f>
        <v/>
      </c>
      <c r="W96" s="75" t="str">
        <f t="shared" si="8"/>
        <v>E</v>
      </c>
      <c r="X96" s="123" t="str">
        <f t="shared" si="10"/>
        <v/>
      </c>
      <c r="Y96" s="123" t="str">
        <f t="shared" si="9"/>
        <v>Y</v>
      </c>
      <c r="Z96" s="121"/>
      <c r="AA96" s="118"/>
    </row>
    <row r="97" spans="1:31" x14ac:dyDescent="0.35">
      <c r="B97" s="134" t="s">
        <v>123</v>
      </c>
      <c r="C97" s="4" t="s">
        <v>124</v>
      </c>
      <c r="D97" s="12">
        <v>624</v>
      </c>
      <c r="E97" s="15">
        <v>676</v>
      </c>
      <c r="F97" s="12">
        <v>507</v>
      </c>
      <c r="G97" s="20">
        <f t="shared" si="7"/>
        <v>676</v>
      </c>
      <c r="H97" s="15">
        <v>13</v>
      </c>
      <c r="I97" s="19" t="s">
        <v>41</v>
      </c>
      <c r="J97" s="12">
        <v>455</v>
      </c>
      <c r="K97" s="12"/>
      <c r="L97" s="20">
        <f>IF(I97="",0,IF(K97&gt;0,0,IF(I97="A",H97,IF(I97="M",H97*12,IF(I97="W",H97*(Lookups!$B$9+1),IF(I97="B",H97*(+Lookups!$B$10),IF(I97="S",H97*2,IF(AND(H97=0,K97&gt;0),K97,"ERROR"))))))))</f>
        <v>689</v>
      </c>
      <c r="M97" s="15"/>
      <c r="N97" s="19"/>
      <c r="O97" s="12">
        <v>390</v>
      </c>
      <c r="P97" s="12">
        <v>600</v>
      </c>
      <c r="Q97" s="20">
        <f>IF(N97="",0,IF(P97&gt;0,0,IF(N97="A",M97,IF(N97="M",M97*12,IF(N97="W",M97*(Lookups!$B$9),IF(N97="B",M97*(+Lookups!$B$10),IF(N97="S",M97*2,IF(AND(M97=0,P97&gt;0),P97,"ERROR"))))))))</f>
        <v>0</v>
      </c>
      <c r="R97" s="15"/>
      <c r="S97" s="19"/>
      <c r="T97" s="12">
        <v>600</v>
      </c>
      <c r="U97" s="20">
        <f>IF(R97="",0,IF(T97&gt;0,0,IF(S97="A",R97,IF(S97="M",R97*12,IF(S97="W",R97*Lookups!B$9,IF(S97="B",R97*+Lookups!B$10,IF(S97="S",R97*2,IF(AND(R97=0,T97&gt;0),T97,"ERROR"))))))))</f>
        <v>0</v>
      </c>
      <c r="V97" s="130" t="str">
        <f>IF(OR(AND(Q97=0,H97=0),P97&gt;0),"",IF(AND(I97="W",N97="W"),ROUND(Q97-(H97*Lookups!$B$9),0),ROUND(+Q97-L97,0)))</f>
        <v/>
      </c>
      <c r="W97" s="75" t="str">
        <f t="shared" si="8"/>
        <v>E</v>
      </c>
      <c r="X97" s="123" t="str">
        <f t="shared" si="10"/>
        <v/>
      </c>
      <c r="Y97" s="123" t="str">
        <f t="shared" si="9"/>
        <v>Y</v>
      </c>
      <c r="Z97" s="121"/>
      <c r="AA97" s="52"/>
    </row>
    <row r="98" spans="1:31" x14ac:dyDescent="0.35">
      <c r="B98" s="21" t="s">
        <v>125</v>
      </c>
      <c r="C98" s="4" t="s">
        <v>126</v>
      </c>
      <c r="D98" s="12">
        <v>6500</v>
      </c>
      <c r="E98" s="15">
        <v>7200</v>
      </c>
      <c r="F98" s="12">
        <v>5400</v>
      </c>
      <c r="G98" s="20">
        <f t="shared" si="7"/>
        <v>7200</v>
      </c>
      <c r="H98" s="15">
        <v>600</v>
      </c>
      <c r="I98" s="19" t="s">
        <v>42</v>
      </c>
      <c r="J98" s="12">
        <v>5125</v>
      </c>
      <c r="K98" s="12"/>
      <c r="L98" s="20">
        <f>IF(I98="",0,IF(K98&gt;0,0,IF(I98="A",H98,IF(I98="M",H98*12,IF(I98="W",H98*(Lookups!$B$9+1),IF(I98="B",H98*(+Lookups!$B$10),IF(I98="S",H98*2,IF(AND(H98=0,K98&gt;0),K98,"ERROR"))))))))</f>
        <v>7200</v>
      </c>
      <c r="M98" s="15">
        <v>650</v>
      </c>
      <c r="N98" s="19" t="s">
        <v>42</v>
      </c>
      <c r="O98" s="12">
        <v>5200</v>
      </c>
      <c r="P98" s="12"/>
      <c r="Q98" s="20">
        <f>IF(N98="",0,IF(P98&gt;0,0,IF(N98="A",M98,IF(N98="M",M98*12,IF(N98="W",M98*(Lookups!$B$9),IF(N98="B",M98*(+Lookups!$B$10),IF(N98="S",M98*2,IF(AND(M98=0,P98&gt;0),P98,"ERROR"))))))))</f>
        <v>7800</v>
      </c>
      <c r="R98" s="15">
        <v>650</v>
      </c>
      <c r="S98" s="19" t="s">
        <v>42</v>
      </c>
      <c r="T98" s="12"/>
      <c r="U98" s="20">
        <f>IF(R98="",0,IF(T98&gt;0,0,IF(S98="A",R98,IF(S98="M",R98*12,IF(S98="W",R98*Lookups!B$9,IF(S98="B",R98*+Lookups!B$10,IF(S98="S",R98*2,IF(AND(R98=0,T98&gt;0),T98,"ERROR"))))))))</f>
        <v>7800</v>
      </c>
      <c r="V98" s="130">
        <f>IF(OR(AND(Q98=0,H98=0),P98&gt;0),"",IF(AND(I98="W",N98="W"),ROUND(Q98-(H98*Lookups!$B$9),0),ROUND(+Q98-L98,0)))</f>
        <v>600</v>
      </c>
      <c r="W98" s="75" t="str">
        <f t="shared" si="8"/>
        <v>I</v>
      </c>
      <c r="X98" s="123" t="str">
        <f t="shared" si="10"/>
        <v>N</v>
      </c>
      <c r="Y98" s="123" t="str">
        <f t="shared" si="9"/>
        <v/>
      </c>
      <c r="Z98" s="121"/>
      <c r="AA98" s="52" t="s">
        <v>453</v>
      </c>
      <c r="AB98" s="53" t="s">
        <v>556</v>
      </c>
      <c r="AC98" s="53" t="s">
        <v>418</v>
      </c>
      <c r="AD98" s="54" t="s">
        <v>395</v>
      </c>
      <c r="AE98" s="55">
        <v>53405</v>
      </c>
    </row>
    <row r="99" spans="1:31" x14ac:dyDescent="0.35">
      <c r="B99" s="21" t="s">
        <v>125</v>
      </c>
      <c r="C99" s="4" t="s">
        <v>127</v>
      </c>
      <c r="D99" s="12">
        <v>2000</v>
      </c>
      <c r="E99" s="15">
        <v>2500</v>
      </c>
      <c r="F99" s="12"/>
      <c r="G99" s="107">
        <v>2500</v>
      </c>
      <c r="H99" s="15">
        <v>2500</v>
      </c>
      <c r="I99" s="19" t="s">
        <v>38</v>
      </c>
      <c r="J99" s="12">
        <v>35</v>
      </c>
      <c r="K99" s="12"/>
      <c r="L99" s="20">
        <f>IF(I99="",0,IF(K99&gt;0,0,IF(I99="A",H99,IF(I99="M",H99*12,IF(I99="W",H99*(Lookups!$B$9+1),IF(I99="B",H99*(+Lookups!$B$10),IF(I99="S",H99*2,IF(AND(H99=0,K99&gt;0),K99,"ERROR"))))))))</f>
        <v>2500</v>
      </c>
      <c r="M99" s="15">
        <v>2000</v>
      </c>
      <c r="N99" s="19" t="s">
        <v>38</v>
      </c>
      <c r="O99" s="12">
        <v>0</v>
      </c>
      <c r="P99" s="12"/>
      <c r="Q99" s="20">
        <f>IF(N99="",0,IF(P99&gt;0,0,IF(N99="A",M99,IF(N99="M",M99*12,IF(N99="W",M99*(Lookups!$B$9),IF(N99="B",M99*(+Lookups!$B$10),IF(N99="S",M99*2,IF(AND(M99=0,P99&gt;0),P99,"ERROR"))))))))</f>
        <v>2000</v>
      </c>
      <c r="R99" s="15">
        <v>2000</v>
      </c>
      <c r="S99" s="19" t="s">
        <v>38</v>
      </c>
      <c r="T99" s="12">
        <v>2500</v>
      </c>
      <c r="U99" s="20">
        <f>IF(R99="",0,IF(T99&gt;0,0,IF(S99="A",R99,IF(S99="M",R99*12,IF(S99="W",R99*Lookups!B$9,IF(S99="B",R99*+Lookups!B$10,IF(S99="S",R99*2,IF(AND(R99=0,T99&gt;0),T99,"ERROR"))))))))</f>
        <v>0</v>
      </c>
      <c r="V99" s="130">
        <f>IF(OR(AND(Q99=0,H99=0),P99&gt;0),"",IF(AND(I99="W",N99="W"),ROUND(Q99-(H99*Lookups!$B$9),0),ROUND(+Q99-L99,0)))</f>
        <v>-500</v>
      </c>
      <c r="W99" s="75" t="str">
        <f t="shared" si="8"/>
        <v>D</v>
      </c>
      <c r="X99" s="123" t="str">
        <f t="shared" si="10"/>
        <v>N</v>
      </c>
      <c r="Y99" s="123" t="str">
        <f t="shared" si="9"/>
        <v/>
      </c>
      <c r="Z99" s="121"/>
      <c r="AA99" s="52" t="s">
        <v>454</v>
      </c>
      <c r="AB99" s="53" t="s">
        <v>455</v>
      </c>
      <c r="AC99" s="53" t="s">
        <v>400</v>
      </c>
      <c r="AD99" s="54" t="s">
        <v>395</v>
      </c>
      <c r="AE99" s="55">
        <v>53126</v>
      </c>
    </row>
    <row r="100" spans="1:31" x14ac:dyDescent="0.35">
      <c r="B100" s="21" t="s">
        <v>128</v>
      </c>
      <c r="C100" s="4" t="s">
        <v>129</v>
      </c>
      <c r="D100" s="17">
        <v>20</v>
      </c>
      <c r="E100" s="15">
        <v>20</v>
      </c>
      <c r="F100" s="12">
        <v>35</v>
      </c>
      <c r="G100" s="20">
        <f t="shared" ref="G100:G134" si="11">IF(E100=0,F100,IF(AND(F100=0,J100="A"),E100,IF(F100&gt;E100,F100, IF(F100/E100&gt;0.73,E100,F100))))</f>
        <v>35</v>
      </c>
      <c r="H100" s="15"/>
      <c r="I100" s="19" t="s">
        <v>38</v>
      </c>
      <c r="J100" s="12">
        <v>65</v>
      </c>
      <c r="K100" s="12"/>
      <c r="L100" s="20">
        <f>IF(I100="",0,IF(K100&gt;0,0,IF(I100="A",H100,IF(I100="M",H100*12,IF(I100="W",H100*(Lookups!$B$9+1),IF(I100="B",H100*(+Lookups!$B$10),IF(I100="S",H100*2,IF(AND(H100=0,K100&gt;0),K100,"ERROR"))))))))</f>
        <v>0</v>
      </c>
      <c r="M100" s="15"/>
      <c r="N100" s="19"/>
      <c r="O100" s="12">
        <v>80</v>
      </c>
      <c r="P100" s="12">
        <v>80</v>
      </c>
      <c r="Q100" s="20">
        <f>IF(N100="",0,IF(P100&gt;0,0,IF(N100="A",M100,IF(N100="M",M100*12,IF(N100="W",M100*(Lookups!$B$9),IF(N100="B",M100*(+Lookups!$B$10),IF(N100="S",M100*2,IF(AND(M100=0,P100&gt;0),P100,"ERROR"))))))))</f>
        <v>0</v>
      </c>
      <c r="R100" s="15"/>
      <c r="S100" s="19"/>
      <c r="T100" s="12"/>
      <c r="U100" s="20">
        <f>IF(R100="",0,IF(T100&gt;0,0,IF(S100="A",R100,IF(S100="M",R100*12,IF(S100="W",R100*Lookups!B$9,IF(S100="B",R100*+Lookups!B$10,IF(S100="S",R100*2,IF(AND(R100=0,T100&gt;0),T100,"ERROR"))))))))</f>
        <v>0</v>
      </c>
      <c r="V100" s="130" t="str">
        <f>IF(OR(AND(Q100=0,H100=0),P100&gt;0),"",IF(AND(I100="W",N100="W"),ROUND(Q100-(H100*Lookups!$B$9),0),ROUND(+Q100-L100,0)))</f>
        <v/>
      </c>
      <c r="W100" s="75" t="str">
        <f t="shared" si="8"/>
        <v>E</v>
      </c>
      <c r="X100" s="123" t="str">
        <f t="shared" si="10"/>
        <v/>
      </c>
      <c r="Y100" s="123" t="str">
        <f t="shared" si="9"/>
        <v>Y</v>
      </c>
      <c r="Z100" s="121"/>
    </row>
    <row r="101" spans="1:31" x14ac:dyDescent="0.35">
      <c r="B101" s="21" t="s">
        <v>270</v>
      </c>
      <c r="C101" s="4" t="s">
        <v>271</v>
      </c>
      <c r="D101" s="17">
        <v>1100</v>
      </c>
      <c r="E101" s="15"/>
      <c r="F101" s="12">
        <v>700</v>
      </c>
      <c r="G101" s="20">
        <f t="shared" si="11"/>
        <v>700</v>
      </c>
      <c r="H101" s="15"/>
      <c r="I101" s="19"/>
      <c r="J101" s="12">
        <v>580</v>
      </c>
      <c r="K101" s="12">
        <v>700</v>
      </c>
      <c r="L101" s="20">
        <f>IF(I101="",0,IF(K101&gt;0,0,IF(I101="A",H101,IF(I101="M",H101*12,IF(I101="W",H101*(Lookups!$B$9+1),IF(I101="B",H101*(+Lookups!$B$10),IF(I101="S",H101*2,IF(AND(H101=0,K101&gt;0),K101,"ERROR"))))))))</f>
        <v>0</v>
      </c>
      <c r="M101" s="15"/>
      <c r="N101" s="19"/>
      <c r="O101" s="12">
        <v>1120</v>
      </c>
      <c r="P101" s="12">
        <v>1500</v>
      </c>
      <c r="Q101" s="20">
        <f>IF(N101="",0,IF(P101&gt;0,0,IF(N101="A",M101,IF(N101="M",M101*12,IF(N101="W",M101*(Lookups!$B$9),IF(N101="B",M101*(+Lookups!$B$10),IF(N101="S",M101*2,IF(AND(M101=0,P101&gt;0),P101,"ERROR"))))))))</f>
        <v>0</v>
      </c>
      <c r="R101" s="15"/>
      <c r="S101" s="19"/>
      <c r="T101" s="12">
        <v>700</v>
      </c>
      <c r="U101" s="20">
        <f>IF(R101="",0,IF(T101&gt;0,0,IF(S101="A",R101,IF(S101="M",R101*12,IF(S101="W",R101*Lookups!B$9,IF(S101="B",R101*+Lookups!B$10,IF(S101="S",R101*2,IF(AND(R101=0,T101&gt;0),T101,"ERROR"))))))))</f>
        <v>0</v>
      </c>
      <c r="V101" s="130" t="str">
        <f>IF(OR(AND(Q101=0,H101=0),P101&gt;0),"",IF(AND(I101="W",N101="W"),ROUND(Q101-(H101*Lookups!$B$9),0),ROUND(+Q101-L101,0)))</f>
        <v/>
      </c>
      <c r="W101" s="75" t="str">
        <f t="shared" si="8"/>
        <v>E</v>
      </c>
      <c r="X101" s="123" t="str">
        <f t="shared" si="10"/>
        <v/>
      </c>
      <c r="Y101" s="123" t="str">
        <f t="shared" si="9"/>
        <v>Y</v>
      </c>
      <c r="Z101" s="121"/>
    </row>
    <row r="102" spans="1:31" x14ac:dyDescent="0.35">
      <c r="B102" s="21" t="s">
        <v>270</v>
      </c>
      <c r="C102" s="4" t="s">
        <v>19</v>
      </c>
      <c r="D102" s="17">
        <v>4200</v>
      </c>
      <c r="E102" s="15"/>
      <c r="F102" s="12">
        <v>3100</v>
      </c>
      <c r="G102" s="20">
        <f t="shared" si="11"/>
        <v>3100</v>
      </c>
      <c r="H102" s="15"/>
      <c r="I102" s="19"/>
      <c r="J102" s="12">
        <v>2400</v>
      </c>
      <c r="K102" s="12">
        <v>4100</v>
      </c>
      <c r="L102" s="20">
        <f>IF(I102="",0,IF(K102&gt;0,0,IF(I102="A",H102,IF(I102="M",H102*12,IF(I102="W",H102*(Lookups!$B$9+1),IF(I102="B",H102*(+Lookups!$B$10),IF(I102="S",H102*2,IF(AND(H102=0,K102&gt;0),K102,"ERROR"))))))))</f>
        <v>0</v>
      </c>
      <c r="M102" s="15"/>
      <c r="N102" s="19"/>
      <c r="O102" s="12">
        <v>2100</v>
      </c>
      <c r="P102" s="12">
        <v>3200</v>
      </c>
      <c r="Q102" s="20">
        <f>IF(N102="",0,IF(P102&gt;0,0,IF(N102="A",M102,IF(N102="M",M102*12,IF(N102="W",M102*(Lookups!$B$9),IF(N102="B",M102*(+Lookups!$B$10),IF(N102="S",M102*2,IF(AND(M102=0,P102&gt;0),P102,"ERROR"))))))))</f>
        <v>0</v>
      </c>
      <c r="R102" s="15"/>
      <c r="S102" s="19"/>
      <c r="T102" s="12">
        <f>266.666666666667*12</f>
        <v>3200.0000000000045</v>
      </c>
      <c r="U102" s="20">
        <f>IF(R102="",0,IF(T102&gt;0,0,IF(S102="A",R102,IF(S102="M",R102*12,IF(S102="W",R102*Lookups!B$9,IF(S102="B",R102*+Lookups!B$10,IF(S102="S",R102*2,IF(AND(R102=0,T102&gt;0),T102,"ERROR"))))))))</f>
        <v>0</v>
      </c>
      <c r="V102" s="130" t="str">
        <f>IF(OR(AND(Q102=0,H102=0),P102&gt;0),"",IF(AND(I102="W",N102="W"),ROUND(Q102-(H102*Lookups!$B$9),0),ROUND(+Q102-L102,0)))</f>
        <v/>
      </c>
      <c r="W102" s="75" t="str">
        <f t="shared" si="8"/>
        <v>E</v>
      </c>
      <c r="X102" s="123" t="str">
        <f t="shared" si="10"/>
        <v/>
      </c>
      <c r="Y102" s="123" t="str">
        <f t="shared" si="9"/>
        <v>Y</v>
      </c>
      <c r="Z102" s="121"/>
    </row>
    <row r="103" spans="1:31" x14ac:dyDescent="0.35">
      <c r="A103" s="139" t="s">
        <v>638</v>
      </c>
      <c r="B103" s="21" t="s">
        <v>272</v>
      </c>
      <c r="C103" s="4" t="s">
        <v>273</v>
      </c>
      <c r="D103" s="17">
        <v>300</v>
      </c>
      <c r="E103" s="15"/>
      <c r="F103" s="12">
        <v>400</v>
      </c>
      <c r="G103" s="20">
        <f t="shared" si="11"/>
        <v>400</v>
      </c>
      <c r="H103" s="15"/>
      <c r="I103" s="19"/>
      <c r="J103" s="12">
        <v>150</v>
      </c>
      <c r="K103" s="12">
        <v>400</v>
      </c>
      <c r="L103" s="20">
        <f>IF(I103="",0,IF(K103&gt;0,0,IF(I103="A",H103,IF(I103="M",H103*12,IF(I103="W",H103*(Lookups!$B$9+1),IF(I103="B",H103*(+Lookups!$B$10),IF(I103="S",H103*2,IF(AND(H103=0,K103&gt;0),K103,"ERROR"))))))))</f>
        <v>0</v>
      </c>
      <c r="M103" s="15"/>
      <c r="N103" s="19"/>
      <c r="O103" s="12">
        <v>0</v>
      </c>
      <c r="P103" s="12"/>
      <c r="Q103" s="20">
        <f>IF(N103="",0,IF(P103&gt;0,0,IF(N103="A",M103,IF(N103="M",M103*12,IF(N103="W",M103*(Lookups!$B$9),IF(N103="B",M103*(+Lookups!$B$10),IF(N103="S",M103*2,IF(AND(M103=0,P103&gt;0),P103,"ERROR"))))))))</f>
        <v>0</v>
      </c>
      <c r="R103" s="15"/>
      <c r="S103" s="19"/>
      <c r="T103" s="12">
        <v>300</v>
      </c>
      <c r="U103" s="20">
        <f>IF(R103="",0,IF(T103&gt;0,0,IF(S103="A",R103,IF(S103="M",R103*12,IF(S103="W",R103*Lookups!B$9,IF(S103="B",R103*+Lookups!B$10,IF(S103="S",R103*2,IF(AND(R103=0,T103&gt;0),T103,"ERROR"))))))))</f>
        <v>0</v>
      </c>
      <c r="V103" s="130" t="str">
        <f>IF(OR(AND(Q103=0,H103=0),P103&gt;0),"",IF(AND(I103="W",N103="W"),ROUND(Q103-(H103*Lookups!$B$9),0),ROUND(+Q103-L103,0)))</f>
        <v/>
      </c>
      <c r="W103" s="174" t="s">
        <v>631</v>
      </c>
      <c r="X103" s="123" t="str">
        <f t="shared" si="10"/>
        <v/>
      </c>
      <c r="Y103" s="123" t="str">
        <f t="shared" si="9"/>
        <v/>
      </c>
      <c r="Z103" s="121"/>
    </row>
    <row r="104" spans="1:31" x14ac:dyDescent="0.35">
      <c r="B104" s="21" t="s">
        <v>274</v>
      </c>
      <c r="C104" s="4" t="s">
        <v>275</v>
      </c>
      <c r="D104" s="17">
        <v>320</v>
      </c>
      <c r="E104" s="15"/>
      <c r="F104" s="12">
        <v>190</v>
      </c>
      <c r="G104" s="20">
        <f t="shared" si="11"/>
        <v>190</v>
      </c>
      <c r="H104" s="15"/>
      <c r="I104" s="19"/>
      <c r="J104" s="12">
        <v>50</v>
      </c>
      <c r="K104" s="12">
        <v>200</v>
      </c>
      <c r="L104" s="20">
        <f>IF(I104="",0,IF(K104&gt;0,0,IF(I104="A",H104,IF(I104="M",H104*12,IF(I104="W",H104*(Lookups!$B$9+1),IF(I104="B",H104*(+Lookups!$B$10),IF(I104="S",H104*2,IF(AND(H104=0,K104&gt;0),K104,"ERROR"))))))))</f>
        <v>0</v>
      </c>
      <c r="M104" s="15"/>
      <c r="N104" s="19"/>
      <c r="O104" s="12">
        <v>580</v>
      </c>
      <c r="P104" s="12">
        <v>800</v>
      </c>
      <c r="Q104" s="20">
        <f>IF(N104="",0,IF(P104&gt;0,0,IF(N104="A",M104,IF(N104="M",M104*12,IF(N104="W",M104*(Lookups!$B$9),IF(N104="B",M104*(+Lookups!$B$10),IF(N104="S",M104*2,IF(AND(M104=0,P104&gt;0),P104,"ERROR"))))))))</f>
        <v>0</v>
      </c>
      <c r="R104" s="15"/>
      <c r="S104" s="19"/>
      <c r="T104" s="12"/>
      <c r="U104" s="20">
        <f>IF(R104="",0,IF(T104&gt;0,0,IF(S104="A",R104,IF(S104="M",R104*12,IF(S104="W",R104*Lookups!B$9,IF(S104="B",R104*+Lookups!B$10,IF(S104="S",R104*2,IF(AND(R104=0,T104&gt;0),T104,"ERROR"))))))))</f>
        <v>0</v>
      </c>
      <c r="V104" s="130" t="str">
        <f>IF(OR(AND(Q104=0,H104=0),P104&gt;0),"",IF(AND(I104="W",N104="W"),ROUND(Q104-(H104*Lookups!$B$9),0),ROUND(+Q104-L104,0)))</f>
        <v/>
      </c>
      <c r="W104" s="75" t="str">
        <f t="shared" si="8"/>
        <v>E</v>
      </c>
      <c r="X104" s="123" t="str">
        <f t="shared" si="10"/>
        <v/>
      </c>
      <c r="Y104" s="123" t="str">
        <f t="shared" si="9"/>
        <v>Y</v>
      </c>
      <c r="Z104" s="121"/>
    </row>
    <row r="105" spans="1:31" x14ac:dyDescent="0.35">
      <c r="A105" s="139" t="s">
        <v>638</v>
      </c>
      <c r="B105" s="21" t="s">
        <v>276</v>
      </c>
      <c r="C105" s="4" t="s">
        <v>237</v>
      </c>
      <c r="D105" s="17">
        <v>45</v>
      </c>
      <c r="E105" s="15"/>
      <c r="F105" s="12"/>
      <c r="G105" s="20">
        <f t="shared" si="11"/>
        <v>0</v>
      </c>
      <c r="H105" s="15"/>
      <c r="I105" s="19"/>
      <c r="J105" s="12"/>
      <c r="K105" s="12"/>
      <c r="L105" s="20">
        <f>IF(I105="",0,IF(K105&gt;0,0,IF(I105="A",H105,IF(I105="M",H105*12,IF(I105="W",H105*(Lookups!$B$9+1),IF(I105="B",H105*(+Lookups!$B$10),IF(I105="S",H105*2,IF(AND(H105=0,K105&gt;0),K105,"ERROR"))))))))</f>
        <v>0</v>
      </c>
      <c r="M105" s="15"/>
      <c r="N105" s="19"/>
      <c r="O105" s="12">
        <v>0</v>
      </c>
      <c r="P105" s="12"/>
      <c r="Q105" s="20">
        <f>IF(N105="",0,IF(P105&gt;0,0,IF(N105="A",M105,IF(N105="M",M105*12,IF(N105="W",M105*(Lookups!$B$9),IF(N105="B",M105*(+Lookups!$B$10),IF(N105="S",M105*2,IF(AND(M105=0,P105&gt;0),P105,"ERROR"))))))))</f>
        <v>0</v>
      </c>
      <c r="R105" s="15"/>
      <c r="S105" s="19"/>
      <c r="T105" s="12"/>
      <c r="U105" s="20">
        <f>IF(R105="",0,IF(T105&gt;0,0,IF(S105="A",R105,IF(S105="M",R105*12,IF(S105="W",R105*Lookups!B$9,IF(S105="B",R105*+Lookups!B$10,IF(S105="S",R105*2,IF(AND(R105=0,T105&gt;0),T105,"ERROR"))))))))</f>
        <v>0</v>
      </c>
      <c r="V105" s="130" t="str">
        <f>IF(OR(AND(Q105=0,H105=0),P105&gt;0),"",IF(AND(I105="W",N105="W"),ROUND(Q105-(H105*Lookups!$B$9),0),ROUND(+Q105-L105,0)))</f>
        <v/>
      </c>
      <c r="W105" s="75" t="str">
        <f t="shared" si="8"/>
        <v/>
      </c>
      <c r="X105" s="123" t="str">
        <f t="shared" si="10"/>
        <v/>
      </c>
      <c r="Y105" s="123" t="str">
        <f t="shared" si="9"/>
        <v/>
      </c>
      <c r="Z105" s="121"/>
    </row>
    <row r="106" spans="1:31" x14ac:dyDescent="0.35">
      <c r="B106" s="21" t="s">
        <v>649</v>
      </c>
      <c r="C106" s="4" t="s">
        <v>650</v>
      </c>
      <c r="D106" s="17"/>
      <c r="E106" s="15"/>
      <c r="F106" s="12"/>
      <c r="G106" s="20"/>
      <c r="H106" s="15"/>
      <c r="I106" s="19"/>
      <c r="J106" s="12"/>
      <c r="K106" s="12"/>
      <c r="L106" s="20"/>
      <c r="M106" s="15"/>
      <c r="N106" s="19"/>
      <c r="O106" s="12">
        <v>1220</v>
      </c>
      <c r="P106" s="12">
        <v>1500</v>
      </c>
      <c r="Q106" s="20">
        <f>IF(N106="",0,IF(P106&gt;0,0,IF(N106="A",M106,IF(N106="M",M106*12,IF(N106="W",M106*(Lookups!$B$9),IF(N106="B",M106*(+Lookups!$B$10),IF(N106="S",M106*2,IF(AND(M106=0,P106&gt;0),P106,"ERROR"))))))))</f>
        <v>0</v>
      </c>
      <c r="R106" s="15"/>
      <c r="S106" s="19"/>
      <c r="T106" s="12"/>
      <c r="U106" s="20">
        <f>IF(R106="",0,IF(T106&gt;0,0,IF(S106="A",R106,IF(S106="M",R106*12,IF(S106="W",R106*Lookups!B$9,IF(S106="B",R106*+Lookups!B$10,IF(S106="S",R106*2,IF(AND(R106=0,T106&gt;0),T106,"ERROR"))))))))</f>
        <v>0</v>
      </c>
      <c r="V106" s="130" t="str">
        <f>IF(OR(AND(Q106=0,H106=0),P106&gt;0),"",IF(AND(I106="W",N106="W"),ROUND(Q106-(H106*Lookups!$B$9),0),ROUND(+Q106-L106,0)))</f>
        <v/>
      </c>
      <c r="W106" s="75" t="str">
        <f t="shared" si="8"/>
        <v>E</v>
      </c>
      <c r="X106" s="123" t="str">
        <f t="shared" si="10"/>
        <v/>
      </c>
      <c r="Y106" s="123" t="str">
        <f t="shared" si="9"/>
        <v>Y</v>
      </c>
      <c r="Z106" s="121"/>
    </row>
    <row r="107" spans="1:31" x14ac:dyDescent="0.35">
      <c r="B107" s="21" t="s">
        <v>277</v>
      </c>
      <c r="C107" s="4" t="s">
        <v>19</v>
      </c>
      <c r="D107" s="17">
        <v>125</v>
      </c>
      <c r="E107" s="15"/>
      <c r="F107" s="12">
        <v>100</v>
      </c>
      <c r="G107" s="20">
        <f t="shared" si="11"/>
        <v>100</v>
      </c>
      <c r="H107" s="15"/>
      <c r="I107" s="19" t="s">
        <v>38</v>
      </c>
      <c r="J107" s="12">
        <v>10</v>
      </c>
      <c r="K107" s="12">
        <v>100</v>
      </c>
      <c r="L107" s="20">
        <f>IF(I107="",0,IF(K107&gt;0,0,IF(I107="A",H107,IF(I107="M",H107*12,IF(I107="W",H107*(Lookups!$B$9+1),IF(I107="B",H107*(+Lookups!$B$10),IF(I107="S",H107*2,IF(AND(H107=0,K107&gt;0),K107,"ERROR"))))))))</f>
        <v>0</v>
      </c>
      <c r="M107" s="15"/>
      <c r="N107" s="19"/>
      <c r="O107" s="12">
        <v>180</v>
      </c>
      <c r="P107" s="12">
        <v>250</v>
      </c>
      <c r="Q107" s="20">
        <f>IF(N107="",0,IF(P107&gt;0,0,IF(N107="A",M107,IF(N107="M",M107*12,IF(N107="W",M107*(Lookups!$B$9),IF(N107="B",M107*(+Lookups!$B$10),IF(N107="S",M107*2,IF(AND(M107=0,P107&gt;0),P107,"ERROR"))))))))</f>
        <v>0</v>
      </c>
      <c r="R107" s="15"/>
      <c r="S107" s="19"/>
      <c r="T107" s="12">
        <v>100</v>
      </c>
      <c r="U107" s="20">
        <f>IF(R107="",0,IF(T107&gt;0,0,IF(S107="A",R107,IF(S107="M",R107*12,IF(S107="W",R107*Lookups!B$9,IF(S107="B",R107*+Lookups!B$10,IF(S107="S",R107*2,IF(AND(R107=0,T107&gt;0),T107,"ERROR"))))))))</f>
        <v>0</v>
      </c>
      <c r="V107" s="130" t="str">
        <f>IF(OR(AND(Q107=0,H107=0),P107&gt;0),"",IF(AND(I107="W",N107="W"),ROUND(Q107-(H107*Lookups!$B$9),0),ROUND(+Q107-L107,0)))</f>
        <v/>
      </c>
      <c r="W107" s="75" t="str">
        <f t="shared" si="8"/>
        <v>E</v>
      </c>
      <c r="X107" s="123" t="str">
        <f t="shared" si="10"/>
        <v/>
      </c>
      <c r="Y107" s="123" t="str">
        <f t="shared" si="9"/>
        <v>Y</v>
      </c>
      <c r="Z107" s="121" t="s">
        <v>560</v>
      </c>
      <c r="AA107" s="52" t="s">
        <v>557</v>
      </c>
      <c r="AB107" s="53" t="s">
        <v>558</v>
      </c>
      <c r="AC107" s="53" t="s">
        <v>559</v>
      </c>
      <c r="AD107" s="54" t="s">
        <v>395</v>
      </c>
      <c r="AE107" s="55">
        <v>53406</v>
      </c>
    </row>
    <row r="108" spans="1:31" x14ac:dyDescent="0.35">
      <c r="B108" s="21" t="s">
        <v>130</v>
      </c>
      <c r="C108" s="4" t="s">
        <v>278</v>
      </c>
      <c r="D108" s="17">
        <v>600</v>
      </c>
      <c r="E108" s="15"/>
      <c r="F108" s="12">
        <v>450</v>
      </c>
      <c r="G108" s="20">
        <f t="shared" si="11"/>
        <v>450</v>
      </c>
      <c r="H108" s="15"/>
      <c r="I108" s="19"/>
      <c r="J108" s="12">
        <v>450</v>
      </c>
      <c r="K108" s="12">
        <v>400</v>
      </c>
      <c r="L108" s="20">
        <f>IF(I108="",0,IF(K108&gt;0,0,IF(I108="A",H108,IF(I108="M",H108*12,IF(I108="W",H108*(Lookups!$B$9+1),IF(I108="B",H108*(+Lookups!$B$10),IF(I108="S",H108*2,IF(AND(H108=0,K108&gt;0),K108,"ERROR"))))))))</f>
        <v>0</v>
      </c>
      <c r="M108" s="15"/>
      <c r="N108" s="19"/>
      <c r="O108" s="12">
        <v>350</v>
      </c>
      <c r="P108" s="12">
        <v>400</v>
      </c>
      <c r="Q108" s="20">
        <f>IF(N108="",0,IF(P108&gt;0,0,IF(N108="A",M108,IF(N108="M",M108*12,IF(N108="W",M108*(Lookups!$B$9),IF(N108="B",M108*(+Lookups!$B$10),IF(N108="S",M108*2,IF(AND(M108=0,P108&gt;0),P108,"ERROR"))))))))</f>
        <v>0</v>
      </c>
      <c r="R108" s="15"/>
      <c r="S108" s="19"/>
      <c r="T108" s="12">
        <f>50*12</f>
        <v>600</v>
      </c>
      <c r="U108" s="20">
        <f>IF(R108="",0,IF(T108&gt;0,0,IF(S108="A",R108,IF(S108="M",R108*12,IF(S108="W",R108*Lookups!B$9,IF(S108="B",R108*+Lookups!B$10,IF(S108="S",R108*2,IF(AND(R108=0,T108&gt;0),T108,"ERROR"))))))))</f>
        <v>0</v>
      </c>
      <c r="V108" s="130" t="str">
        <f>IF(OR(AND(Q108=0,H108=0),P108&gt;0),"",IF(AND(I108="W",N108="W"),ROUND(Q108-(H108*Lookups!$B$9),0),ROUND(+Q108-L108,0)))</f>
        <v/>
      </c>
      <c r="W108" s="75" t="str">
        <f t="shared" si="8"/>
        <v>E</v>
      </c>
      <c r="X108" s="123" t="str">
        <f t="shared" si="10"/>
        <v/>
      </c>
      <c r="Y108" s="123" t="str">
        <f t="shared" si="9"/>
        <v>Y</v>
      </c>
      <c r="Z108" s="121"/>
    </row>
    <row r="109" spans="1:31" x14ac:dyDescent="0.35">
      <c r="B109" s="21" t="s">
        <v>651</v>
      </c>
      <c r="C109" s="4" t="s">
        <v>652</v>
      </c>
      <c r="D109" s="17">
        <v>180</v>
      </c>
      <c r="E109" s="15">
        <v>240</v>
      </c>
      <c r="F109" s="12">
        <v>180</v>
      </c>
      <c r="G109" s="20">
        <f t="shared" si="11"/>
        <v>240</v>
      </c>
      <c r="H109" s="15">
        <v>25</v>
      </c>
      <c r="I109" s="19" t="s">
        <v>41</v>
      </c>
      <c r="J109" s="12">
        <v>180</v>
      </c>
      <c r="K109" s="12"/>
      <c r="L109" s="20">
        <f>IF(I109="",0,IF(K109&gt;0,0,IF(I109="A",H109,IF(I109="M",H109*12,IF(I109="W",H109*(Lookups!$B$9+1),IF(I109="B",H109*(+Lookups!$B$10),IF(I109="S",H109*2,IF(AND(H109=0,K109&gt;0),K109,"ERROR"))))))))</f>
        <v>1325</v>
      </c>
      <c r="M109" s="15"/>
      <c r="N109" s="19"/>
      <c r="O109" s="12">
        <v>400</v>
      </c>
      <c r="P109" s="12">
        <v>600</v>
      </c>
      <c r="Q109" s="20">
        <f>IF(N109="",0,IF(P109&gt;0,0,IF(N109="A",M109,IF(N109="M",M109*12,IF(N109="W",M109*(Lookups!$B$9),IF(N109="B",M109*(+Lookups!$B$10),IF(N109="S",M109*2,IF(AND(M109=0,P109&gt;0),P109,"ERROR"))))))))</f>
        <v>0</v>
      </c>
      <c r="R109" s="15"/>
      <c r="S109" s="19"/>
      <c r="T109" s="12">
        <v>200</v>
      </c>
      <c r="U109" s="20">
        <f>IF(R109="",0,IF(T109&gt;0,0,IF(S109="A",R109,IF(S109="M",R109*12,IF(S109="W",R109*Lookups!B$9,IF(S109="B",R109*+Lookups!B$10,IF(S109="S",R109*2,IF(AND(R109=0,T109&gt;0),T109,"ERROR"))))))))</f>
        <v>0</v>
      </c>
      <c r="V109" s="130" t="str">
        <f>IF(OR(AND(Q109=0,H109=0),P109&gt;0),"",IF(AND(I109="W",N109="W"),ROUND(Q109-(H109*Lookups!$B$9),0),ROUND(+Q109-L109,0)))</f>
        <v/>
      </c>
      <c r="W109" s="75" t="str">
        <f t="shared" si="8"/>
        <v>E</v>
      </c>
      <c r="X109" s="123" t="str">
        <f t="shared" si="10"/>
        <v/>
      </c>
      <c r="Y109" s="123" t="str">
        <f t="shared" si="9"/>
        <v>Y</v>
      </c>
      <c r="Z109" s="121"/>
    </row>
    <row r="110" spans="1:31" ht="29" x14ac:dyDescent="0.35">
      <c r="B110" s="21" t="s">
        <v>131</v>
      </c>
      <c r="C110" s="4" t="s">
        <v>132</v>
      </c>
      <c r="D110" s="17">
        <v>2118.64</v>
      </c>
      <c r="E110" s="15">
        <v>2200</v>
      </c>
      <c r="F110" s="12">
        <v>1000</v>
      </c>
      <c r="G110" s="20">
        <f t="shared" si="11"/>
        <v>1000</v>
      </c>
      <c r="H110" s="15">
        <v>2200</v>
      </c>
      <c r="I110" s="19" t="s">
        <v>38</v>
      </c>
      <c r="J110" s="12">
        <v>2140.94</v>
      </c>
      <c r="K110" s="12"/>
      <c r="L110" s="20">
        <f>IF(I110="",0,IF(K110&gt;0,0,IF(I110="A",H110,IF(I110="M",H110*12,IF(I110="W",H110*(Lookups!$B$9+1),IF(I110="B",H110*(+Lookups!$B$10),IF(I110="S",H110*2,IF(AND(H110=0,K110&gt;0),K110,"ERROR"))))))))</f>
        <v>2200</v>
      </c>
      <c r="M110" s="15">
        <v>2200</v>
      </c>
      <c r="N110" s="19" t="s">
        <v>38</v>
      </c>
      <c r="O110" s="12">
        <v>2090</v>
      </c>
      <c r="P110" s="12"/>
      <c r="Q110" s="20">
        <f>IF(N110="",0,IF(P110&gt;0,0,IF(N110="A",M110,IF(N110="M",M110*12,IF(N110="W",M110*(Lookups!$B$9),IF(N110="B",M110*(+Lookups!$B$10),IF(N110="S",M110*2,IF(AND(M110=0,P110&gt;0),P110,"ERROR"))))))))</f>
        <v>2200</v>
      </c>
      <c r="R110" s="15">
        <v>2200</v>
      </c>
      <c r="S110" s="19" t="s">
        <v>38</v>
      </c>
      <c r="T110" s="12"/>
      <c r="U110" s="20">
        <f>IF(R110="",0,IF(T110&gt;0,0,IF(S110="A",R110,IF(S110="M",R110*12,IF(S110="W",R110*Lookups!B$9,IF(S110="B",R110*+Lookups!B$10,IF(S110="S",R110*2,IF(AND(R110=0,T110&gt;0),T110,"ERROR"))))))))</f>
        <v>2200</v>
      </c>
      <c r="V110" s="130">
        <f>IF(OR(AND(Q110=0,H110=0),P110&gt;0),"",IF(AND(I110="W",N110="W"),ROUND(Q110-(H110*Lookups!$B$9),0),ROUND(+Q110-L110,0)))</f>
        <v>0</v>
      </c>
      <c r="W110" s="75" t="str">
        <f t="shared" si="8"/>
        <v>S</v>
      </c>
      <c r="X110" s="123" t="str">
        <f t="shared" si="10"/>
        <v>N</v>
      </c>
      <c r="Y110" s="123" t="str">
        <f t="shared" si="9"/>
        <v/>
      </c>
      <c r="Z110" s="121" t="s">
        <v>562</v>
      </c>
      <c r="AA110" s="118" t="s">
        <v>561</v>
      </c>
      <c r="AB110" s="53" t="s">
        <v>456</v>
      </c>
      <c r="AC110" s="53" t="s">
        <v>418</v>
      </c>
      <c r="AD110" s="54" t="s">
        <v>395</v>
      </c>
      <c r="AE110" s="55">
        <v>53406</v>
      </c>
    </row>
    <row r="111" spans="1:31" x14ac:dyDescent="0.35">
      <c r="B111" s="134" t="s">
        <v>133</v>
      </c>
      <c r="C111" s="4" t="s">
        <v>134</v>
      </c>
      <c r="D111" s="17">
        <v>1350</v>
      </c>
      <c r="E111" s="15">
        <v>1200</v>
      </c>
      <c r="F111" s="12">
        <v>800</v>
      </c>
      <c r="G111" s="20">
        <f t="shared" si="11"/>
        <v>800</v>
      </c>
      <c r="H111" s="15">
        <v>100</v>
      </c>
      <c r="I111" s="19" t="s">
        <v>42</v>
      </c>
      <c r="J111" s="12">
        <v>960</v>
      </c>
      <c r="K111" s="12"/>
      <c r="L111" s="20">
        <f>IF(I111="",0,IF(K111&gt;0,0,IF(I111="A",H111,IF(I111="M",H111*12,IF(I111="W",H111*(Lookups!$B$9+1),IF(I111="B",H111*(+Lookups!$B$10),IF(I111="S",H111*2,IF(AND(H111=0,K111&gt;0),K111,"ERROR"))))))))</f>
        <v>1200</v>
      </c>
      <c r="M111" s="15">
        <v>100</v>
      </c>
      <c r="N111" s="19" t="s">
        <v>42</v>
      </c>
      <c r="O111" s="12">
        <v>780</v>
      </c>
      <c r="P111" s="12"/>
      <c r="Q111" s="20">
        <f>IF(N111="",0,IF(P111&gt;0,0,IF(N111="A",M111,IF(N111="M",M111*12,IF(N111="W",M111*(Lookups!$B$9),IF(N111="B",M111*(+Lookups!$B$10),IF(N111="S",M111*2,IF(AND(M111=0,P111&gt;0),P111,"ERROR"))))))))</f>
        <v>1200</v>
      </c>
      <c r="R111" s="15"/>
      <c r="S111" s="19"/>
      <c r="T111" s="12">
        <v>1200</v>
      </c>
      <c r="U111" s="20">
        <f>IF(R111="",0,IF(T111&gt;0,0,IF(S111="A",R111,IF(S111="M",R111*12,IF(S111="W",R111*Lookups!B$9,IF(S111="B",R111*+Lookups!B$10,IF(S111="S",R111*2,IF(AND(R111=0,T111&gt;0),T111,"ERROR"))))))))</f>
        <v>0</v>
      </c>
      <c r="V111" s="130">
        <f>IF(OR(AND(Q111=0,H111=0),P111&gt;0),"",IF(AND(I111="W",N111="W"),ROUND(Q111-(H111*Lookups!$B$9),0),ROUND(+Q111-L111,0)))</f>
        <v>0</v>
      </c>
      <c r="W111" s="75" t="str">
        <f t="shared" si="8"/>
        <v>S</v>
      </c>
      <c r="X111" s="123" t="str">
        <f t="shared" si="10"/>
        <v>N</v>
      </c>
      <c r="Y111" s="123" t="str">
        <f t="shared" si="9"/>
        <v/>
      </c>
      <c r="Z111" s="121"/>
      <c r="AB111" s="53" t="s">
        <v>457</v>
      </c>
      <c r="AC111" s="53" t="s">
        <v>418</v>
      </c>
      <c r="AD111" s="54" t="s">
        <v>395</v>
      </c>
      <c r="AE111" s="55">
        <v>53402</v>
      </c>
    </row>
    <row r="112" spans="1:31" x14ac:dyDescent="0.35">
      <c r="B112" s="21" t="s">
        <v>279</v>
      </c>
      <c r="C112" s="4" t="s">
        <v>280</v>
      </c>
      <c r="D112" s="17">
        <v>600</v>
      </c>
      <c r="E112" s="15"/>
      <c r="F112" s="12">
        <v>540</v>
      </c>
      <c r="G112" s="20">
        <f t="shared" si="11"/>
        <v>540</v>
      </c>
      <c r="H112" s="15"/>
      <c r="I112" s="19"/>
      <c r="J112" s="12">
        <v>540</v>
      </c>
      <c r="K112" s="12">
        <v>600</v>
      </c>
      <c r="L112" s="20">
        <f>IF(I112="",0,IF(K112&gt;0,0,IF(I112="A",H112,IF(I112="M",H112*12,IF(I112="W",H112*(Lookups!$B$9+1),IF(I112="B",H112*(+Lookups!$B$10),IF(I112="S",H112*2,IF(AND(H112=0,K112&gt;0),K112,"ERROR"))))))))</f>
        <v>0</v>
      </c>
      <c r="M112" s="15"/>
      <c r="N112" s="19"/>
      <c r="O112" s="12">
        <v>480</v>
      </c>
      <c r="P112" s="12">
        <v>600</v>
      </c>
      <c r="Q112" s="20">
        <f>IF(N112="",0,IF(P112&gt;0,0,IF(N112="A",M112,IF(N112="M",M112*12,IF(N112="W",M112*(Lookups!$B$9),IF(N112="B",M112*(+Lookups!$B$10),IF(N112="S",M112*2,IF(AND(M112=0,P112&gt;0),P112,"ERROR"))))))))</f>
        <v>0</v>
      </c>
      <c r="R112" s="15"/>
      <c r="S112" s="19"/>
      <c r="T112" s="12">
        <v>600</v>
      </c>
      <c r="U112" s="20">
        <f>IF(R112="",0,IF(T112&gt;0,0,IF(S112="A",R112,IF(S112="M",R112*12,IF(S112="W",R112*Lookups!B$9,IF(S112="B",R112*+Lookups!B$10,IF(S112="S",R112*2,IF(AND(R112=0,T112&gt;0),T112,"ERROR"))))))))</f>
        <v>0</v>
      </c>
      <c r="V112" s="130" t="str">
        <f>IF(OR(AND(Q112=0,H112=0),P112&gt;0),"",IF(AND(I112="W",N112="W"),ROUND(Q112-(H112*Lookups!$B$9),0),ROUND(+Q112-L112,0)))</f>
        <v/>
      </c>
      <c r="W112" s="75" t="str">
        <f t="shared" si="8"/>
        <v>E</v>
      </c>
      <c r="X112" s="123" t="str">
        <f t="shared" si="10"/>
        <v/>
      </c>
      <c r="Y112" s="123" t="str">
        <f t="shared" si="9"/>
        <v>Y</v>
      </c>
      <c r="Z112" s="121"/>
    </row>
    <row r="113" spans="1:32" x14ac:dyDescent="0.35">
      <c r="B113" s="134" t="s">
        <v>135</v>
      </c>
      <c r="C113" s="4" t="s">
        <v>136</v>
      </c>
      <c r="D113" s="17">
        <v>920</v>
      </c>
      <c r="E113" s="15">
        <v>900</v>
      </c>
      <c r="F113" s="12">
        <v>675</v>
      </c>
      <c r="G113" s="20">
        <f t="shared" si="11"/>
        <v>900</v>
      </c>
      <c r="H113" s="15">
        <v>75</v>
      </c>
      <c r="I113" s="19" t="s">
        <v>42</v>
      </c>
      <c r="J113" s="12">
        <v>750</v>
      </c>
      <c r="K113" s="12"/>
      <c r="L113" s="20">
        <f>IF(I113="",0,IF(K113&gt;0,0,IF(I113="A",H113,IF(I113="M",H113*12,IF(I113="W",H113*(Lookups!$B$9+1),IF(I113="B",H113*(+Lookups!$B$10),IF(I113="S",H113*2,IF(AND(H113=0,K113&gt;0),K113,"ERROR"))))))))</f>
        <v>900</v>
      </c>
      <c r="M113" s="15">
        <v>70</v>
      </c>
      <c r="N113" s="19" t="s">
        <v>42</v>
      </c>
      <c r="O113" s="12">
        <v>560</v>
      </c>
      <c r="P113" s="12"/>
      <c r="Q113" s="20">
        <f>IF(N113="",0,IF(P113&gt;0,0,IF(N113="A",M113,IF(N113="M",M113*12,IF(N113="W",M113*(Lookups!$B$9),IF(N113="B",M113*(+Lookups!$B$10),IF(N113="S",M113*2,IF(AND(M113=0,P113&gt;0),P113,"ERROR"))))))))</f>
        <v>840</v>
      </c>
      <c r="R113" s="15"/>
      <c r="S113" s="19"/>
      <c r="T113" s="12">
        <v>900</v>
      </c>
      <c r="U113" s="20">
        <f>IF(R113="",0,IF(T113&gt;0,0,IF(S113="A",R113,IF(S113="M",R113*12,IF(S113="W",R113*Lookups!B$9,IF(S113="B",R113*+Lookups!B$10,IF(S113="S",R113*2,IF(AND(R113=0,T113&gt;0),T113,"ERROR"))))))))</f>
        <v>0</v>
      </c>
      <c r="V113" s="130">
        <f>IF(OR(AND(Q113=0,H113=0),P113&gt;0),"",IF(AND(I113="W",N113="W"),ROUND(Q113-(H113*Lookups!$B$9),0),ROUND(+Q113-L113,0)))</f>
        <v>-60</v>
      </c>
      <c r="W113" s="75" t="str">
        <f t="shared" si="8"/>
        <v>D</v>
      </c>
      <c r="X113" s="123" t="str">
        <f t="shared" si="10"/>
        <v>N</v>
      </c>
      <c r="Y113" s="123" t="str">
        <f t="shared" si="9"/>
        <v/>
      </c>
      <c r="Z113" s="121"/>
    </row>
    <row r="114" spans="1:32" x14ac:dyDescent="0.35">
      <c r="A114" s="139" t="s">
        <v>638</v>
      </c>
      <c r="B114" s="21" t="s">
        <v>281</v>
      </c>
      <c r="C114" s="4" t="s">
        <v>282</v>
      </c>
      <c r="D114" s="17">
        <v>100</v>
      </c>
      <c r="E114" s="15"/>
      <c r="F114" s="12"/>
      <c r="G114" s="20">
        <f t="shared" si="11"/>
        <v>0</v>
      </c>
      <c r="H114" s="15"/>
      <c r="I114" s="19"/>
      <c r="J114" s="12"/>
      <c r="K114" s="12"/>
      <c r="L114" s="20">
        <f>IF(I114="",0,IF(K114&gt;0,0,IF(I114="A",H114,IF(I114="M",H114*12,IF(I114="W",H114*(Lookups!$B$9+1),IF(I114="B",H114*(+Lookups!$B$10),IF(I114="S",H114*2,IF(AND(H114=0,K114&gt;0),K114,"ERROR"))))))))</f>
        <v>0</v>
      </c>
      <c r="M114" s="15"/>
      <c r="N114" s="19"/>
      <c r="O114" s="12">
        <v>0</v>
      </c>
      <c r="P114" s="12"/>
      <c r="Q114" s="20">
        <f>IF(N114="",0,IF(P114&gt;0,0,IF(N114="A",M114,IF(N114="M",M114*12,IF(N114="W",M114*(Lookups!$B$9),IF(N114="B",M114*(+Lookups!$B$10),IF(N114="S",M114*2,IF(AND(M114=0,P114&gt;0),P114,"ERROR"))))))))</f>
        <v>0</v>
      </c>
      <c r="R114" s="15"/>
      <c r="S114" s="19"/>
      <c r="T114" s="12"/>
      <c r="U114" s="20">
        <f>IF(R114="",0,IF(T114&gt;0,0,IF(S114="A",R114,IF(S114="M",R114*12,IF(S114="W",R114*Lookups!B$9,IF(S114="B",R114*+Lookups!B$10,IF(S114="S",R114*2,IF(AND(R114=0,T114&gt;0),T114,"ERROR"))))))))</f>
        <v>0</v>
      </c>
      <c r="V114" s="130" t="str">
        <f>IF(OR(AND(Q114=0,H114=0),P114&gt;0),"",IF(AND(I114="W",N114="W"),ROUND(Q114-(H114*Lookups!$B$9),0),ROUND(+Q114-L114,0)))</f>
        <v/>
      </c>
      <c r="W114" s="75" t="str">
        <f t="shared" si="8"/>
        <v/>
      </c>
      <c r="X114" s="123" t="str">
        <f t="shared" si="10"/>
        <v/>
      </c>
      <c r="Y114" s="123" t="str">
        <f t="shared" si="9"/>
        <v/>
      </c>
      <c r="Z114" s="121"/>
    </row>
    <row r="115" spans="1:32" x14ac:dyDescent="0.35">
      <c r="B115" s="21" t="s">
        <v>137</v>
      </c>
      <c r="C115" s="4" t="s">
        <v>138</v>
      </c>
      <c r="D115" s="17">
        <v>290</v>
      </c>
      <c r="E115" s="15">
        <v>840</v>
      </c>
      <c r="F115" s="12">
        <v>735</v>
      </c>
      <c r="G115" s="20">
        <f t="shared" si="11"/>
        <v>840</v>
      </c>
      <c r="H115" s="15"/>
      <c r="I115" s="19"/>
      <c r="J115" s="12">
        <v>650</v>
      </c>
      <c r="K115" s="12">
        <v>800</v>
      </c>
      <c r="L115" s="20">
        <f>IF(I115="",0,IF(K115&gt;0,0,IF(I115="A",H115,IF(I115="M",H115*12,IF(I115="W",H115*(Lookups!$B$9+1),IF(I115="B",H115*(+Lookups!$B$10),IF(I115="S",H115*2,IF(AND(H115=0,K115&gt;0),K115,"ERROR"))))))))</f>
        <v>0</v>
      </c>
      <c r="M115" s="15">
        <v>160</v>
      </c>
      <c r="N115" s="19" t="s">
        <v>42</v>
      </c>
      <c r="O115" s="12">
        <v>1165</v>
      </c>
      <c r="P115" s="12"/>
      <c r="Q115" s="20">
        <f>IF(N115="",0,IF(P115&gt;0,0,IF(N115="A",M115,IF(N115="M",M115*12,IF(N115="W",M115*(Lookups!$B$9),IF(N115="B",M115*(+Lookups!$B$10),IF(N115="S",M115*2,IF(AND(M115=0,P115&gt;0),P115,"ERROR"))))))))</f>
        <v>1920</v>
      </c>
      <c r="R115" s="15">
        <v>160</v>
      </c>
      <c r="S115" s="19" t="s">
        <v>42</v>
      </c>
      <c r="T115" s="12"/>
      <c r="U115" s="20">
        <f>IF(R115="",0,IF(T115&gt;0,0,IF(S115="A",R115,IF(S115="M",R115*12,IF(S115="W",R115*Lookups!B$9,IF(S115="B",R115*+Lookups!B$10,IF(S115="S",R115*2,IF(AND(R115=0,T115&gt;0),T115,"ERROR"))))))))</f>
        <v>1920</v>
      </c>
      <c r="V115" s="130">
        <f>IF(OR(AND(Q115=0,H115=0),P115&gt;0),"",IF(AND(I115="W",N115="W"),ROUND(Q115-(H115*Lookups!$B$9),0),ROUND(+Q115-L115,0)))</f>
        <v>1920</v>
      </c>
      <c r="W115" s="75" t="str">
        <f t="shared" si="8"/>
        <v>N</v>
      </c>
      <c r="X115" s="123" t="str">
        <f t="shared" si="10"/>
        <v>N</v>
      </c>
      <c r="Y115" s="123" t="str">
        <f t="shared" si="9"/>
        <v/>
      </c>
      <c r="Z115" s="121"/>
      <c r="AA115" s="52" t="s">
        <v>563</v>
      </c>
      <c r="AB115" s="53" t="s">
        <v>564</v>
      </c>
      <c r="AC115" s="53" t="s">
        <v>418</v>
      </c>
      <c r="AD115" s="54" t="s">
        <v>395</v>
      </c>
      <c r="AE115" s="55">
        <v>53406</v>
      </c>
    </row>
    <row r="116" spans="1:32" x14ac:dyDescent="0.35">
      <c r="B116" s="134" t="s">
        <v>139</v>
      </c>
      <c r="C116" s="4" t="s">
        <v>140</v>
      </c>
      <c r="D116" s="17">
        <v>1400</v>
      </c>
      <c r="E116" s="15">
        <v>1400</v>
      </c>
      <c r="F116" s="12">
        <v>1400</v>
      </c>
      <c r="G116" s="20">
        <f t="shared" si="11"/>
        <v>1400</v>
      </c>
      <c r="H116" s="15">
        <v>1500</v>
      </c>
      <c r="I116" s="19" t="s">
        <v>38</v>
      </c>
      <c r="J116" s="12">
        <v>1600</v>
      </c>
      <c r="K116" s="12"/>
      <c r="L116" s="20">
        <f>IF(I116="",0,IF(K116&gt;0,0,IF(I116="A",H116,IF(I116="M",H116*12,IF(I116="W",H116*(Lookups!$B$9+1),IF(I116="B",H116*(+Lookups!$B$10),IF(I116="S",H116*2,IF(AND(H116=0,K116&gt;0),K116,"ERROR"))))))))</f>
        <v>1500</v>
      </c>
      <c r="M116" s="15">
        <v>1500</v>
      </c>
      <c r="N116" s="19" t="s">
        <v>38</v>
      </c>
      <c r="O116" s="12">
        <v>1600</v>
      </c>
      <c r="P116" s="12">
        <v>1600</v>
      </c>
      <c r="Q116" s="20">
        <f>IF(N116="",0,IF(P116&gt;0,0,IF(N116="A",M116,IF(N116="M",M116*12,IF(N116="W",M116*(Lookups!$B$9),IF(N116="B",M116*(+Lookups!$B$10),IF(N116="S",M116*2,IF(AND(M116=0,P116&gt;0),P116,"ERROR"))))))))</f>
        <v>0</v>
      </c>
      <c r="R116" s="15"/>
      <c r="S116" s="19"/>
      <c r="T116" s="12">
        <v>1600</v>
      </c>
      <c r="U116" s="20">
        <f>IF(R116="",0,IF(T116&gt;0,0,IF(S116="A",R116,IF(S116="M",R116*12,IF(S116="W",R116*Lookups!B$9,IF(S116="B",R116*+Lookups!B$10,IF(S116="S",R116*2,IF(AND(R116=0,T116&gt;0),T116,"ERROR"))))))))</f>
        <v>0</v>
      </c>
      <c r="V116" s="130" t="str">
        <f>IF(OR(AND(Q116=0,H116=0),P116&gt;0),"",IF(AND(I116="W",N116="W"),ROUND(Q116-(H116*Lookups!$B$9),0),ROUND(+Q116-L116,0)))</f>
        <v/>
      </c>
      <c r="W116" s="75" t="str">
        <f t="shared" si="8"/>
        <v>E</v>
      </c>
      <c r="X116" s="123" t="str">
        <f t="shared" si="10"/>
        <v/>
      </c>
      <c r="Y116" s="123" t="str">
        <f t="shared" si="9"/>
        <v>Y</v>
      </c>
      <c r="Z116" s="121"/>
    </row>
    <row r="117" spans="1:32" x14ac:dyDescent="0.35">
      <c r="B117" s="21" t="s">
        <v>141</v>
      </c>
      <c r="C117" s="4" t="s">
        <v>625</v>
      </c>
      <c r="D117" s="17"/>
      <c r="E117" s="15"/>
      <c r="F117" s="12"/>
      <c r="G117" s="20">
        <f t="shared" si="11"/>
        <v>0</v>
      </c>
      <c r="H117" s="15"/>
      <c r="I117" s="19"/>
      <c r="J117" s="12">
        <v>2000</v>
      </c>
      <c r="K117" s="12"/>
      <c r="L117" s="20">
        <f>IF(I117="",0,IF(K117&gt;0,0,IF(I117="A",H117,IF(I117="M",H117*12,IF(I117="W",H117*(Lookups!$B$9+1),IF(I117="B",H117*(+Lookups!$B$10),IF(I117="S",H117*2,IF(AND(H117=0,K117&gt;0),K117,"ERROR"))))))))</f>
        <v>0</v>
      </c>
      <c r="M117" s="15"/>
      <c r="N117" s="19"/>
      <c r="O117" s="12">
        <v>3500</v>
      </c>
      <c r="P117" s="12">
        <v>4000</v>
      </c>
      <c r="Q117" s="20">
        <f>IF(N117="",0,IF(P117&gt;0,0,IF(N117="A",M117,IF(N117="M",M117*12,IF(N117="W",M117*(Lookups!$B$9),IF(N117="B",M117*(+Lookups!$B$10),IF(N117="S",M117*2,IF(AND(M117=0,P117&gt;0),P117,"ERROR"))))))))</f>
        <v>0</v>
      </c>
      <c r="R117" s="15"/>
      <c r="S117" s="19"/>
      <c r="T117" s="12">
        <v>2000</v>
      </c>
      <c r="U117" s="20">
        <f>IF(R117="",0,IF(T117&gt;0,0,IF(S117="A",R117,IF(S117="M",R117*12,IF(S117="W",R117*Lookups!B$9,IF(S117="B",R117*+Lookups!B$10,IF(S117="S",R117*2,IF(AND(R117=0,T117&gt;0),T117,"ERROR"))))))))</f>
        <v>0</v>
      </c>
      <c r="V117" s="130" t="str">
        <f>IF(OR(AND(Q117=0,H117=0),P117&gt;0),"",IF(AND(I117="W",N117="W"),ROUND(Q117-(H117*Lookups!$B$9),0),ROUND(+Q117-L117,0)))</f>
        <v/>
      </c>
      <c r="W117" s="75" t="str">
        <f t="shared" si="8"/>
        <v>E</v>
      </c>
      <c r="X117" s="123" t="str">
        <f t="shared" si="10"/>
        <v/>
      </c>
      <c r="Y117" s="123" t="str">
        <f t="shared" si="9"/>
        <v>Y</v>
      </c>
      <c r="Z117" s="121"/>
    </row>
    <row r="118" spans="1:32" x14ac:dyDescent="0.35">
      <c r="B118" s="21" t="s">
        <v>141</v>
      </c>
      <c r="C118" s="4" t="s">
        <v>142</v>
      </c>
      <c r="D118" s="17">
        <v>2650</v>
      </c>
      <c r="E118" s="15">
        <v>2860</v>
      </c>
      <c r="F118" s="12">
        <v>2090</v>
      </c>
      <c r="G118" s="20">
        <f t="shared" si="11"/>
        <v>2860</v>
      </c>
      <c r="H118" s="15">
        <v>60</v>
      </c>
      <c r="I118" s="19" t="s">
        <v>41</v>
      </c>
      <c r="J118" s="12">
        <v>2340</v>
      </c>
      <c r="K118" s="12"/>
      <c r="L118" s="20">
        <f>IF(I118="",0,IF(K118&gt;0,0,IF(I118="A",H118,IF(I118="M",H118*12,IF(I118="W",H118*(Lookups!$B$9+1),IF(I118="B",H118*(+Lookups!$B$10),IF(I118="S",H118*2,IF(AND(H118=0,K118&gt;0),K118,"ERROR"))))))))</f>
        <v>3180</v>
      </c>
      <c r="M118" s="15">
        <v>60</v>
      </c>
      <c r="N118" s="19" t="s">
        <v>41</v>
      </c>
      <c r="O118" s="12">
        <v>1980</v>
      </c>
      <c r="P118" s="12"/>
      <c r="Q118" s="20">
        <f>IF(N118="",0,IF(P118&gt;0,0,IF(N118="A",M118,IF(N118="M",M118*12,IF(N118="W",M118*(Lookups!$B$9),IF(N118="B",M118*(+Lookups!$B$10),IF(N118="S",M118*2,IF(AND(M118=0,P118&gt;0),P118,"ERROR"))))))))</f>
        <v>3120</v>
      </c>
      <c r="R118" s="15">
        <v>60</v>
      </c>
      <c r="S118" s="19" t="s">
        <v>41</v>
      </c>
      <c r="T118" s="12"/>
      <c r="U118" s="20">
        <f>IF(R118="",0,IF(T118&gt;0,0,IF(S118="A",R118,IF(S118="M",R118*12,IF(S118="W",R118*Lookups!B$9,IF(S118="B",R118*+Lookups!B$10,IF(S118="S",R118*2,IF(AND(R118=0,T118&gt;0),T118,"ERROR"))))))))</f>
        <v>3120</v>
      </c>
      <c r="V118" s="130">
        <f>IF(OR(AND(Q118=0,H118=0),P118&gt;0),"",IF(AND(I118="W",N118="W"),ROUND(Q118-(H118*Lookups!$B$9),0),ROUND(+Q118-L118,0)))</f>
        <v>0</v>
      </c>
      <c r="W118" s="75" t="str">
        <f t="shared" si="8"/>
        <v>S</v>
      </c>
      <c r="X118" s="123" t="str">
        <f t="shared" si="10"/>
        <v>N</v>
      </c>
      <c r="Y118" s="123" t="str">
        <f t="shared" si="9"/>
        <v/>
      </c>
      <c r="Z118" s="121"/>
      <c r="AB118" s="53" t="s">
        <v>458</v>
      </c>
      <c r="AC118" s="53" t="s">
        <v>418</v>
      </c>
      <c r="AD118" s="54" t="s">
        <v>395</v>
      </c>
      <c r="AE118" s="55">
        <v>53405</v>
      </c>
    </row>
    <row r="119" spans="1:32" ht="58" x14ac:dyDescent="0.35">
      <c r="B119" s="21" t="s">
        <v>143</v>
      </c>
      <c r="C119" s="4" t="s">
        <v>104</v>
      </c>
      <c r="D119" s="17">
        <v>4260</v>
      </c>
      <c r="E119" s="15">
        <v>4380</v>
      </c>
      <c r="F119" s="12">
        <v>3285</v>
      </c>
      <c r="G119" s="20">
        <f t="shared" si="11"/>
        <v>4380</v>
      </c>
      <c r="H119" s="15">
        <v>365</v>
      </c>
      <c r="I119" s="19" t="s">
        <v>42</v>
      </c>
      <c r="J119" s="12">
        <v>4120</v>
      </c>
      <c r="K119" s="12"/>
      <c r="L119" s="20">
        <f>IF(I119="",0,IF(K119&gt;0,0,IF(I119="A",H119,IF(I119="M",H119*12,IF(I119="W",H119*(Lookups!$B$9+1),IF(I119="B",H119*(+Lookups!$B$10),IF(I119="S",H119*2,IF(AND(H119=0,K119&gt;0),K119,"ERROR"))))))))</f>
        <v>4380</v>
      </c>
      <c r="M119" s="15">
        <v>2060</v>
      </c>
      <c r="N119" s="19" t="s">
        <v>38</v>
      </c>
      <c r="O119" s="12">
        <v>2060</v>
      </c>
      <c r="P119" s="12"/>
      <c r="Q119" s="20">
        <f>IF(N119="",0,IF(P119&gt;0,0,IF(N119="A",M119,IF(N119="M",M119*12,IF(N119="W",M119*(Lookups!$B$9),IF(N119="B",M119*(+Lookups!$B$10),IF(N119="S",M119*2,IF(AND(M119=0,P119&gt;0),P119,"ERROR"))))))))</f>
        <v>2060</v>
      </c>
      <c r="R119" s="15">
        <v>2060</v>
      </c>
      <c r="S119" s="19" t="s">
        <v>38</v>
      </c>
      <c r="T119" s="12"/>
      <c r="U119" s="20">
        <f>IF(R119="",0,IF(T119&gt;0,0,IF(S119="A",R119,IF(S119="M",R119*12,IF(S119="W",R119*Lookups!B$9,IF(S119="B",R119*+Lookups!B$10,IF(S119="S",R119*2,IF(AND(R119=0,T119&gt;0),T119,"ERROR"))))))))</f>
        <v>2060</v>
      </c>
      <c r="V119" s="130">
        <f>IF(OR(AND(Q119=0,H119=0),P119&gt;0),"",IF(AND(I119="W",N119="W"),ROUND(Q119-(H119*Lookups!$B$9),0),ROUND(+Q119-L119,0)))</f>
        <v>-2320</v>
      </c>
      <c r="W119" s="75" t="str">
        <f t="shared" si="8"/>
        <v>D</v>
      </c>
      <c r="X119" s="123" t="str">
        <f t="shared" si="10"/>
        <v>Y</v>
      </c>
      <c r="Y119" s="123" t="str">
        <f t="shared" si="9"/>
        <v/>
      </c>
      <c r="Z119" s="135" t="s">
        <v>567</v>
      </c>
      <c r="AA119" s="52" t="s">
        <v>565</v>
      </c>
      <c r="AB119" s="53" t="s">
        <v>566</v>
      </c>
      <c r="AC119" s="53" t="s">
        <v>418</v>
      </c>
      <c r="AD119" s="54" t="s">
        <v>395</v>
      </c>
      <c r="AE119" s="55">
        <v>53406</v>
      </c>
    </row>
    <row r="120" spans="1:32" x14ac:dyDescent="0.35">
      <c r="B120" s="21" t="s">
        <v>283</v>
      </c>
      <c r="C120" s="4" t="s">
        <v>284</v>
      </c>
      <c r="D120" s="17">
        <v>350</v>
      </c>
      <c r="E120" s="15"/>
      <c r="F120" s="12">
        <v>70</v>
      </c>
      <c r="G120" s="20">
        <f t="shared" si="11"/>
        <v>70</v>
      </c>
      <c r="H120" s="15"/>
      <c r="I120" s="19"/>
      <c r="J120" s="12">
        <v>220</v>
      </c>
      <c r="K120" s="12"/>
      <c r="L120" s="20">
        <f>IF(I120="",0,IF(K120&gt;0,0,IF(I120="A",H120,IF(I120="M",H120*12,IF(I120="W",H120*(Lookups!$B$9+1),IF(I120="B",H120*(+Lookups!$B$10),IF(I120="S",H120*2,IF(AND(H120=0,K120&gt;0),K120,"ERROR"))))))))</f>
        <v>0</v>
      </c>
      <c r="M120" s="15"/>
      <c r="N120" s="19"/>
      <c r="O120" s="12">
        <v>30</v>
      </c>
      <c r="P120" s="12">
        <v>30</v>
      </c>
      <c r="Q120" s="20">
        <f>IF(N120="",0,IF(P120&gt;0,0,IF(N120="A",M120,IF(N120="M",M120*12,IF(N120="W",M120*(Lookups!$B$9),IF(N120="B",M120*(+Lookups!$B$10),IF(N120="S",M120*2,IF(AND(M120=0,P120&gt;0),P120,"ERROR"))))))))</f>
        <v>0</v>
      </c>
      <c r="R120" s="15"/>
      <c r="S120" s="19"/>
      <c r="T120" s="12"/>
      <c r="U120" s="20">
        <f>IF(R120="",0,IF(T120&gt;0,0,IF(S120="A",R120,IF(S120="M",R120*12,IF(S120="W",R120*Lookups!B$9,IF(S120="B",R120*+Lookups!B$10,IF(S120="S",R120*2,IF(AND(R120=0,T120&gt;0),T120,"ERROR"))))))))</f>
        <v>0</v>
      </c>
      <c r="V120" s="130" t="str">
        <f>IF(OR(AND(Q120=0,H120=0),P120&gt;0),"",IF(AND(I120="W",N120="W"),ROUND(Q120-(H120*Lookups!$B$9),0),ROUND(+Q120-L120,0)))</f>
        <v/>
      </c>
      <c r="W120" s="75" t="str">
        <f t="shared" si="8"/>
        <v>E</v>
      </c>
      <c r="X120" s="123" t="str">
        <f t="shared" si="10"/>
        <v/>
      </c>
      <c r="Y120" s="123" t="str">
        <f t="shared" si="9"/>
        <v>Y</v>
      </c>
      <c r="Z120" s="121"/>
    </row>
    <row r="121" spans="1:32" x14ac:dyDescent="0.35">
      <c r="B121" s="21" t="s">
        <v>144</v>
      </c>
      <c r="C121" s="4" t="s">
        <v>145</v>
      </c>
      <c r="D121" s="17">
        <v>700</v>
      </c>
      <c r="E121" s="15">
        <v>600</v>
      </c>
      <c r="F121" s="12">
        <v>400</v>
      </c>
      <c r="G121" s="20">
        <f t="shared" si="11"/>
        <v>400</v>
      </c>
      <c r="H121" s="15"/>
      <c r="I121" s="19" t="s">
        <v>42</v>
      </c>
      <c r="J121" s="12">
        <v>300</v>
      </c>
      <c r="K121" s="12">
        <v>500</v>
      </c>
      <c r="L121" s="20">
        <f>IF(I121="",0,IF(K121&gt;0,0,IF(I121="A",H121,IF(I121="M",H121*12,IF(I121="W",H121*(Lookups!$B$9+1),IF(I121="B",H121*(+Lookups!$B$10),IF(I121="S",H121*2,IF(AND(H121=0,K121&gt;0),K121,"ERROR"))))))))</f>
        <v>0</v>
      </c>
      <c r="M121" s="15">
        <v>50</v>
      </c>
      <c r="N121" s="19" t="s">
        <v>42</v>
      </c>
      <c r="O121" s="12">
        <v>200</v>
      </c>
      <c r="P121" s="12">
        <v>300</v>
      </c>
      <c r="Q121" s="20">
        <f>IF(N121="",0,IF(P121&gt;0,0,IF(N121="A",M121,IF(N121="M",M121*12,IF(N121="W",M121*(Lookups!$B$9),IF(N121="B",M121*(+Lookups!$B$10),IF(N121="S",M121*2,IF(AND(M121=0,P121&gt;0),P121,"ERROR"))))))))</f>
        <v>0</v>
      </c>
      <c r="R121" s="15">
        <v>50</v>
      </c>
      <c r="S121" s="19" t="s">
        <v>42</v>
      </c>
      <c r="T121" s="12"/>
      <c r="U121" s="20">
        <f>IF(R121="",0,IF(T121&gt;0,0,IF(S121="A",R121,IF(S121="M",R121*12,IF(S121="W",R121*Lookups!B$9,IF(S121="B",R121*+Lookups!B$10,IF(S121="S",R121*2,IF(AND(R121=0,T121&gt;0),T121,"ERROR"))))))))</f>
        <v>600</v>
      </c>
      <c r="V121" s="130" t="str">
        <f>IF(OR(AND(Q121=0,H121=0),P121&gt;0),"",IF(AND(I121="W",N121="W"),ROUND(Q121-(H121*Lookups!$B$9),0),ROUND(+Q121-L121,0)))</f>
        <v/>
      </c>
      <c r="W121" s="75" t="str">
        <f t="shared" si="8"/>
        <v>E</v>
      </c>
      <c r="X121" s="123" t="str">
        <f t="shared" si="10"/>
        <v/>
      </c>
      <c r="Y121" s="123" t="str">
        <f t="shared" si="9"/>
        <v>Y</v>
      </c>
      <c r="Z121" s="121"/>
      <c r="AB121" s="53" t="s">
        <v>568</v>
      </c>
      <c r="AC121" s="53" t="s">
        <v>418</v>
      </c>
      <c r="AD121" s="54" t="s">
        <v>395</v>
      </c>
      <c r="AE121" s="55" t="s">
        <v>569</v>
      </c>
    </row>
    <row r="122" spans="1:32" x14ac:dyDescent="0.35">
      <c r="B122" s="21" t="s">
        <v>146</v>
      </c>
      <c r="C122" s="4" t="s">
        <v>147</v>
      </c>
      <c r="D122" s="17">
        <v>1390</v>
      </c>
      <c r="E122" s="15">
        <v>1300</v>
      </c>
      <c r="F122" s="12">
        <v>1045</v>
      </c>
      <c r="G122" s="20">
        <f t="shared" si="11"/>
        <v>1300</v>
      </c>
      <c r="H122" s="15">
        <v>25</v>
      </c>
      <c r="I122" s="19" t="s">
        <v>41</v>
      </c>
      <c r="J122" s="12">
        <v>1017.5</v>
      </c>
      <c r="K122" s="12"/>
      <c r="L122" s="20">
        <f>IF(I122="",0,IF(K122&gt;0,0,IF(I122="A",H122,IF(I122="M",H122*12,IF(I122="W",H122*(Lookups!$B$9+1),IF(I122="B",H122*(+Lookups!$B$10),IF(I122="S",H122*2,IF(AND(H122=0,K122&gt;0),K122,"ERROR"))))))))</f>
        <v>1325</v>
      </c>
      <c r="M122" s="15">
        <v>25</v>
      </c>
      <c r="N122" s="19" t="s">
        <v>41</v>
      </c>
      <c r="O122" s="12">
        <v>920</v>
      </c>
      <c r="P122" s="12"/>
      <c r="Q122" s="20">
        <f>IF(N122="",0,IF(P122&gt;0,0,IF(N122="A",M122,IF(N122="M",M122*12,IF(N122="W",M122*(Lookups!$B$9),IF(N122="B",M122*(+Lookups!$B$10),IF(N122="S",M122*2,IF(AND(M122=0,P122&gt;0),P122,"ERROR"))))))))</f>
        <v>1300</v>
      </c>
      <c r="R122" s="15">
        <v>25</v>
      </c>
      <c r="S122" s="19" t="s">
        <v>41</v>
      </c>
      <c r="T122" s="12"/>
      <c r="U122" s="20">
        <f>IF(R122="",0,IF(T122&gt;0,0,IF(S122="A",R122,IF(S122="M",R122*12,IF(S122="W",R122*Lookups!B$9,IF(S122="B",R122*+Lookups!B$10,IF(S122="S",R122*2,IF(AND(R122=0,T122&gt;0),T122,"ERROR"))))))))</f>
        <v>1300</v>
      </c>
      <c r="V122" s="130">
        <f>IF(OR(AND(Q122=0,H122=0),P122&gt;0),"",IF(AND(I122="W",N122="W"),ROUND(Q122-(H122*Lookups!$B$9),0),ROUND(+Q122-L122,0)))</f>
        <v>0</v>
      </c>
      <c r="W122" s="75" t="str">
        <f t="shared" si="8"/>
        <v>S</v>
      </c>
      <c r="X122" s="123" t="str">
        <f t="shared" si="10"/>
        <v>N</v>
      </c>
      <c r="Y122" s="123" t="str">
        <f t="shared" si="9"/>
        <v/>
      </c>
      <c r="Z122" s="121"/>
      <c r="AA122" s="52" t="s">
        <v>570</v>
      </c>
      <c r="AB122" s="53" t="s">
        <v>571</v>
      </c>
      <c r="AC122" s="53" t="s">
        <v>418</v>
      </c>
      <c r="AD122" s="54" t="s">
        <v>395</v>
      </c>
      <c r="AE122" s="55">
        <v>53402</v>
      </c>
    </row>
    <row r="123" spans="1:32" x14ac:dyDescent="0.35">
      <c r="B123" s="21" t="s">
        <v>368</v>
      </c>
      <c r="C123" s="4" t="s">
        <v>369</v>
      </c>
      <c r="D123" s="17"/>
      <c r="E123" s="15"/>
      <c r="F123" s="12">
        <v>40</v>
      </c>
      <c r="G123" s="20">
        <f t="shared" si="11"/>
        <v>40</v>
      </c>
      <c r="H123" s="15"/>
      <c r="I123" s="19"/>
      <c r="J123" s="12"/>
      <c r="K123" s="12"/>
      <c r="L123" s="20">
        <f>IF(I123="",0,IF(K123&gt;0,0,IF(I123="A",H123,IF(I123="M",H123*12,IF(I123="W",H123*(Lookups!$B$9+1),IF(I123="B",H123*(+Lookups!$B$10),IF(I123="S",H123*2,IF(AND(H123=0,K123&gt;0),K123,"ERROR"))))))))</f>
        <v>0</v>
      </c>
      <c r="M123" s="15"/>
      <c r="N123" s="19"/>
      <c r="O123" s="12">
        <v>20</v>
      </c>
      <c r="P123" s="12">
        <v>20</v>
      </c>
      <c r="Q123" s="20">
        <f>IF(N123="",0,IF(P123&gt;0,0,IF(N123="A",M123,IF(N123="M",M123*12,IF(N123="W",M123*(Lookups!$B$9),IF(N123="B",M123*(+Lookups!$B$10),IF(N123="S",M123*2,IF(AND(M123=0,P123&gt;0),P123,"ERROR"))))))))</f>
        <v>0</v>
      </c>
      <c r="R123" s="15"/>
      <c r="S123" s="19"/>
      <c r="T123" s="12"/>
      <c r="U123" s="20">
        <f>IF(R123="",0,IF(T123&gt;0,0,IF(S123="A",R123,IF(S123="M",R123*12,IF(S123="W",R123*Lookups!B$9,IF(S123="B",R123*+Lookups!B$10,IF(S123="S",R123*2,IF(AND(R123=0,T123&gt;0),T123,"ERROR"))))))))</f>
        <v>0</v>
      </c>
      <c r="V123" s="130" t="str">
        <f>IF(OR(AND(Q123=0,H123=0),P123&gt;0),"",IF(AND(I123="W",N123="W"),ROUND(Q123-(H123*Lookups!$B$9),0),ROUND(+Q123-L123,0)))</f>
        <v/>
      </c>
      <c r="W123" s="75" t="str">
        <f t="shared" si="8"/>
        <v>E</v>
      </c>
      <c r="X123" s="123" t="str">
        <f t="shared" si="10"/>
        <v/>
      </c>
      <c r="Y123" s="123" t="str">
        <f t="shared" si="9"/>
        <v>Y</v>
      </c>
      <c r="Z123" s="121"/>
    </row>
    <row r="124" spans="1:32" x14ac:dyDescent="0.35">
      <c r="B124" s="21" t="s">
        <v>148</v>
      </c>
      <c r="C124" s="4" t="s">
        <v>285</v>
      </c>
      <c r="D124" s="17">
        <v>960</v>
      </c>
      <c r="E124" s="15"/>
      <c r="F124" s="12">
        <v>955</v>
      </c>
      <c r="G124" s="20">
        <f t="shared" si="11"/>
        <v>955</v>
      </c>
      <c r="H124" s="15"/>
      <c r="I124" s="19"/>
      <c r="J124" s="12">
        <v>875</v>
      </c>
      <c r="K124" s="12">
        <v>900</v>
      </c>
      <c r="L124" s="20">
        <f>IF(I124="",0,IF(K124&gt;0,0,IF(I124="A",H124,IF(I124="M",H124*12,IF(I124="W",H124*(Lookups!$B$9+1),IF(I124="B",H124*(+Lookups!$B$10),IF(I124="S",H124*2,IF(AND(H124=0,K124&gt;0),K124,"ERROR"))))))))</f>
        <v>0</v>
      </c>
      <c r="M124" s="15"/>
      <c r="N124" s="19"/>
      <c r="O124" s="12">
        <v>2025</v>
      </c>
      <c r="P124" s="12">
        <v>3000</v>
      </c>
      <c r="Q124" s="20">
        <f>IF(N124="",0,IF(P124&gt;0,0,IF(N124="A",M124,IF(N124="M",M124*12,IF(N124="W",M124*(Lookups!$B$9),IF(N124="B",M124*(+Lookups!$B$10),IF(N124="S",M124*2,IF(AND(M124=0,P124&gt;0),P124,"ERROR"))))))))</f>
        <v>0</v>
      </c>
      <c r="R124" s="15"/>
      <c r="S124" s="19"/>
      <c r="T124" s="12">
        <v>900</v>
      </c>
      <c r="U124" s="20">
        <f>IF(R124="",0,IF(T124&gt;0,0,IF(S124="A",R124,IF(S124="M",R124*12,IF(S124="W",R124*Lookups!B$9,IF(S124="B",R124*+Lookups!B$10,IF(S124="S",R124*2,IF(AND(R124=0,T124&gt;0),T124,"ERROR"))))))))</f>
        <v>0</v>
      </c>
      <c r="V124" s="130" t="str">
        <f>IF(OR(AND(Q124=0,H124=0),P124&gt;0),"",IF(AND(I124="W",N124="W"),ROUND(Q124-(H124*Lookups!$B$9),0),ROUND(+Q124-L124,0)))</f>
        <v/>
      </c>
      <c r="W124" s="75" t="str">
        <f t="shared" si="8"/>
        <v>E</v>
      </c>
      <c r="X124" s="123" t="str">
        <f t="shared" si="10"/>
        <v/>
      </c>
      <c r="Y124" s="123" t="str">
        <f t="shared" si="9"/>
        <v>Y</v>
      </c>
      <c r="Z124" s="121"/>
    </row>
    <row r="125" spans="1:32" x14ac:dyDescent="0.35">
      <c r="B125" s="134" t="s">
        <v>148</v>
      </c>
      <c r="C125" s="4" t="s">
        <v>149</v>
      </c>
      <c r="D125" s="17">
        <v>7420</v>
      </c>
      <c r="E125" s="15">
        <v>7800</v>
      </c>
      <c r="F125" s="12">
        <v>5850</v>
      </c>
      <c r="G125" s="20">
        <f t="shared" si="11"/>
        <v>7800</v>
      </c>
      <c r="H125" s="15">
        <v>150</v>
      </c>
      <c r="I125" s="19" t="s">
        <v>41</v>
      </c>
      <c r="J125" s="12">
        <v>5850</v>
      </c>
      <c r="K125" s="12"/>
      <c r="L125" s="20">
        <f>IF(I125="",0,IF(K125&gt;0,0,IF(I125="A",H125,IF(I125="M",H125*12,IF(I125="W",H125*(Lookups!$B$9+1),IF(I125="B",H125*(+Lookups!$B$10),IF(I125="S",H125*2,IF(AND(H125=0,K125&gt;0),K125,"ERROR"))))))))</f>
        <v>7950</v>
      </c>
      <c r="M125" s="15">
        <v>150</v>
      </c>
      <c r="N125" s="19" t="s">
        <v>41</v>
      </c>
      <c r="O125" s="12">
        <v>5250</v>
      </c>
      <c r="P125" s="12"/>
      <c r="Q125" s="20">
        <f>IF(N125="",0,IF(P125&gt;0,0,IF(N125="A",M125,IF(N125="M",M125*12,IF(N125="W",M125*(Lookups!$B$9),IF(N125="B",M125*(+Lookups!$B$10),IF(N125="S",M125*2,IF(AND(M125=0,P125&gt;0),P125,"ERROR"))))))))</f>
        <v>7800</v>
      </c>
      <c r="R125" s="15"/>
      <c r="S125" s="19"/>
      <c r="T125" s="12">
        <f>650*12</f>
        <v>7800</v>
      </c>
      <c r="U125" s="20">
        <f>IF(R125="",0,IF(T125&gt;0,0,IF(S125="A",R125,IF(S125="M",R125*12,IF(S125="W",R125*Lookups!B$9,IF(S125="B",R125*+Lookups!B$10,IF(S125="S",R125*2,IF(AND(R125=0,T125&gt;0),T125,"ERROR"))))))))</f>
        <v>0</v>
      </c>
      <c r="V125" s="130">
        <f>IF(OR(AND(Q125=0,H125=0),P125&gt;0),"",IF(AND(I125="W",N125="W"),ROUND(Q125-(H125*Lookups!$B$9),0),ROUND(+Q125-L125,0)))</f>
        <v>0</v>
      </c>
      <c r="W125" s="75" t="str">
        <f t="shared" si="8"/>
        <v>S</v>
      </c>
      <c r="X125" s="123" t="str">
        <f t="shared" si="10"/>
        <v>N</v>
      </c>
      <c r="Y125" s="123" t="str">
        <f t="shared" si="9"/>
        <v/>
      </c>
      <c r="Z125" s="121"/>
      <c r="AA125" s="52" t="s">
        <v>459</v>
      </c>
      <c r="AB125" s="53" t="s">
        <v>460</v>
      </c>
      <c r="AC125" s="53" t="s">
        <v>461</v>
      </c>
      <c r="AD125" s="54" t="s">
        <v>395</v>
      </c>
      <c r="AE125" s="55">
        <v>53154</v>
      </c>
      <c r="AF125" s="53" t="s">
        <v>499</v>
      </c>
    </row>
    <row r="126" spans="1:32" x14ac:dyDescent="0.35">
      <c r="A126" s="139" t="s">
        <v>638</v>
      </c>
      <c r="B126" s="21" t="s">
        <v>286</v>
      </c>
      <c r="C126" s="4" t="s">
        <v>287</v>
      </c>
      <c r="D126" s="17">
        <v>600</v>
      </c>
      <c r="E126" s="15"/>
      <c r="F126" s="12">
        <v>400</v>
      </c>
      <c r="G126" s="20">
        <f t="shared" si="11"/>
        <v>400</v>
      </c>
      <c r="H126" s="15"/>
      <c r="I126" s="19"/>
      <c r="J126" s="12"/>
      <c r="K126" s="12">
        <v>400</v>
      </c>
      <c r="L126" s="20">
        <f>IF(I126="",0,IF(K126&gt;0,0,IF(I126="A",H126,IF(I126="M",H126*12,IF(I126="W",H126*(Lookups!$B$9+1),IF(I126="B",H126*(+Lookups!$B$10),IF(I126="S",H126*2,IF(AND(H126=0,K126&gt;0),K126,"ERROR"))))))))</f>
        <v>0</v>
      </c>
      <c r="M126" s="15"/>
      <c r="N126" s="19"/>
      <c r="O126" s="12">
        <v>0</v>
      </c>
      <c r="P126" s="12"/>
      <c r="Q126" s="20">
        <f>IF(N126="",0,IF(P126&gt;0,0,IF(N126="A",M126,IF(N126="M",M126*12,IF(N126="W",M126*(Lookups!$B$9),IF(N126="B",M126*(+Lookups!$B$10),IF(N126="S",M126*2,IF(AND(M126=0,P126&gt;0),P126,"ERROR"))))))))</f>
        <v>0</v>
      </c>
      <c r="R126" s="15"/>
      <c r="S126" s="19"/>
      <c r="T126" s="12"/>
      <c r="U126" s="20">
        <f>IF(R126="",0,IF(T126&gt;0,0,IF(S126="A",R126,IF(S126="M",R126*12,IF(S126="W",R126*Lookups!B$9,IF(S126="B",R126*+Lookups!B$10,IF(S126="S",R126*2,IF(AND(R126=0,T126&gt;0),T126,"ERROR"))))))))</f>
        <v>0</v>
      </c>
      <c r="V126" s="130" t="str">
        <f>IF(OR(AND(Q126=0,H126=0),P126&gt;0),"",IF(AND(I126="W",N126="W"),ROUND(Q126-(H126*Lookups!$B$9),0),ROUND(+Q126-L126,0)))</f>
        <v/>
      </c>
      <c r="W126" s="75" t="str">
        <f t="shared" si="8"/>
        <v/>
      </c>
      <c r="X126" s="123" t="str">
        <f t="shared" si="10"/>
        <v/>
      </c>
      <c r="Y126" s="123" t="str">
        <f t="shared" si="9"/>
        <v/>
      </c>
      <c r="Z126" s="121"/>
    </row>
    <row r="127" spans="1:32" x14ac:dyDescent="0.35">
      <c r="B127" s="21" t="s">
        <v>288</v>
      </c>
      <c r="C127" s="4" t="s">
        <v>289</v>
      </c>
      <c r="D127" s="17">
        <v>600</v>
      </c>
      <c r="E127" s="15"/>
      <c r="F127" s="12">
        <v>450</v>
      </c>
      <c r="G127" s="20">
        <f t="shared" si="11"/>
        <v>450</v>
      </c>
      <c r="H127" s="15"/>
      <c r="I127" s="19"/>
      <c r="J127" s="12">
        <v>450</v>
      </c>
      <c r="K127" s="12">
        <v>400</v>
      </c>
      <c r="L127" s="20">
        <f>IF(I127="",0,IF(K127&gt;0,0,IF(I127="A",H127,IF(I127="M",H127*12,IF(I127="W",H127*(Lookups!$B$9+1),IF(I127="B",H127*(+Lookups!$B$10),IF(I127="S",H127*2,IF(AND(H127=0,K127&gt;0),K127,"ERROR"))))))))</f>
        <v>0</v>
      </c>
      <c r="M127" s="15"/>
      <c r="N127" s="19"/>
      <c r="O127" s="12">
        <v>400</v>
      </c>
      <c r="P127" s="12">
        <v>500</v>
      </c>
      <c r="Q127" s="20">
        <f>IF(N127="",0,IF(P127&gt;0,0,IF(N127="A",M127,IF(N127="M",M127*12,IF(N127="W",M127*(Lookups!$B$9),IF(N127="B",M127*(+Lookups!$B$10),IF(N127="S",M127*2,IF(AND(M127=0,P127&gt;0),P127,"ERROR"))))))))</f>
        <v>0</v>
      </c>
      <c r="R127" s="15"/>
      <c r="S127" s="19"/>
      <c r="T127" s="12">
        <v>500</v>
      </c>
      <c r="U127" s="20">
        <f>IF(R127="",0,IF(T127&gt;0,0,IF(S127="A",R127,IF(S127="M",R127*12,IF(S127="W",R127*Lookups!B$9,IF(S127="B",R127*+Lookups!B$10,IF(S127="S",R127*2,IF(AND(R127=0,T127&gt;0),T127,"ERROR"))))))))</f>
        <v>0</v>
      </c>
      <c r="V127" s="130" t="str">
        <f>IF(OR(AND(Q127=0,H127=0),P127&gt;0),"",IF(AND(I127="W",N127="W"),ROUND(Q127-(H127*Lookups!$B$9),0),ROUND(+Q127-L127,0)))</f>
        <v/>
      </c>
      <c r="W127" s="75" t="str">
        <f t="shared" si="8"/>
        <v>E</v>
      </c>
      <c r="X127" s="123" t="str">
        <f t="shared" si="10"/>
        <v/>
      </c>
      <c r="Y127" s="123" t="str">
        <f t="shared" si="9"/>
        <v>Y</v>
      </c>
      <c r="Z127" s="121"/>
    </row>
    <row r="128" spans="1:32" x14ac:dyDescent="0.35">
      <c r="A128" s="139" t="s">
        <v>638</v>
      </c>
      <c r="B128" s="21" t="s">
        <v>290</v>
      </c>
      <c r="C128" s="4" t="s">
        <v>291</v>
      </c>
      <c r="D128" s="17">
        <v>2580</v>
      </c>
      <c r="E128" s="15"/>
      <c r="F128" s="12">
        <v>500</v>
      </c>
      <c r="G128" s="20">
        <f t="shared" si="11"/>
        <v>500</v>
      </c>
      <c r="H128" s="15"/>
      <c r="I128" s="19"/>
      <c r="J128" s="12">
        <v>100</v>
      </c>
      <c r="K128" s="12">
        <v>400</v>
      </c>
      <c r="L128" s="20">
        <f>IF(I128="",0,IF(K128&gt;0,0,IF(I128="A",H128,IF(I128="M",H128*12,IF(I128="W",H128*(Lookups!$B$9+1),IF(I128="B",H128*(+Lookups!$B$10),IF(I128="S",H128*2,IF(AND(H128=0,K128&gt;0),K128,"ERROR"))))))))</f>
        <v>0</v>
      </c>
      <c r="M128" s="15"/>
      <c r="N128" s="19"/>
      <c r="O128" s="12">
        <v>0</v>
      </c>
      <c r="P128" s="12"/>
      <c r="Q128" s="20">
        <f>IF(N128="",0,IF(P128&gt;0,0,IF(N128="A",M128,IF(N128="M",M128*12,IF(N128="W",M128*(Lookups!$B$9),IF(N128="B",M128*(+Lookups!$B$10),IF(N128="S",M128*2,IF(AND(M128=0,P128&gt;0),P128,"ERROR"))))))))</f>
        <v>0</v>
      </c>
      <c r="R128" s="15"/>
      <c r="S128" s="19"/>
      <c r="T128" s="12"/>
      <c r="U128" s="20">
        <f>IF(R128="",0,IF(T128&gt;0,0,IF(S128="A",R128,IF(S128="M",R128*12,IF(S128="W",R128*Lookups!B$9,IF(S128="B",R128*+Lookups!B$10,IF(S128="S",R128*2,IF(AND(R128=0,T128&gt;0),T128,"ERROR"))))))))</f>
        <v>0</v>
      </c>
      <c r="V128" s="130" t="str">
        <f>IF(OR(AND(Q128=0,H128=0),P128&gt;0),"",IF(AND(I128="W",N128="W"),ROUND(Q128-(H128*Lookups!$B$9),0),ROUND(+Q128-L128,0)))</f>
        <v/>
      </c>
      <c r="W128" s="75" t="str">
        <f t="shared" si="8"/>
        <v/>
      </c>
      <c r="X128" s="123" t="str">
        <f t="shared" si="10"/>
        <v/>
      </c>
      <c r="Y128" s="123" t="str">
        <f t="shared" si="9"/>
        <v/>
      </c>
      <c r="Z128" s="121"/>
    </row>
    <row r="129" spans="1:31" x14ac:dyDescent="0.35">
      <c r="A129" s="139" t="s">
        <v>638</v>
      </c>
      <c r="B129" s="21" t="s">
        <v>370</v>
      </c>
      <c r="C129" s="4" t="s">
        <v>371</v>
      </c>
      <c r="D129" s="17"/>
      <c r="E129" s="15"/>
      <c r="F129" s="12">
        <v>100</v>
      </c>
      <c r="G129" s="20">
        <f t="shared" si="11"/>
        <v>100</v>
      </c>
      <c r="H129" s="15"/>
      <c r="I129" s="19"/>
      <c r="J129" s="12"/>
      <c r="K129" s="12"/>
      <c r="L129" s="20">
        <f>IF(I129="",0,IF(K129&gt;0,0,IF(I129="A",H129,IF(I129="M",H129*12,IF(I129="W",H129*(Lookups!$B$9+1),IF(I129="B",H129*(+Lookups!$B$10),IF(I129="S",H129*2,IF(AND(H129=0,K129&gt;0),K129,"ERROR"))))))))</f>
        <v>0</v>
      </c>
      <c r="M129" s="15"/>
      <c r="N129" s="19"/>
      <c r="O129" s="12">
        <v>0</v>
      </c>
      <c r="P129" s="12"/>
      <c r="Q129" s="20">
        <f>IF(N129="",0,IF(P129&gt;0,0,IF(N129="A",M129,IF(N129="M",M129*12,IF(N129="W",M129*(Lookups!$B$9),IF(N129="B",M129*(+Lookups!$B$10),IF(N129="S",M129*2,IF(AND(M129=0,P129&gt;0),P129,"ERROR"))))))))</f>
        <v>0</v>
      </c>
      <c r="R129" s="15"/>
      <c r="S129" s="19"/>
      <c r="T129" s="12"/>
      <c r="U129" s="20">
        <f>IF(R129="",0,IF(T129&gt;0,0,IF(S129="A",R129,IF(S129="M",R129*12,IF(S129="W",R129*Lookups!B$9,IF(S129="B",R129*+Lookups!B$10,IF(S129="S",R129*2,IF(AND(R129=0,T129&gt;0),T129,"ERROR"))))))))</f>
        <v>0</v>
      </c>
      <c r="V129" s="130" t="str">
        <f>IF(OR(AND(Q129=0,H129=0),P129&gt;0),"",IF(AND(I129="W",N129="W"),ROUND(Q129-(H129*Lookups!$B$9),0),ROUND(+Q129-L129,0)))</f>
        <v/>
      </c>
      <c r="W129" s="75" t="str">
        <f t="shared" si="8"/>
        <v/>
      </c>
      <c r="X129" s="123" t="str">
        <f t="shared" si="10"/>
        <v/>
      </c>
      <c r="Y129" s="123" t="str">
        <f t="shared" si="9"/>
        <v/>
      </c>
      <c r="Z129" s="121"/>
    </row>
    <row r="130" spans="1:31" x14ac:dyDescent="0.35">
      <c r="A130" s="139" t="s">
        <v>638</v>
      </c>
      <c r="B130" s="21" t="s">
        <v>150</v>
      </c>
      <c r="C130" s="4" t="s">
        <v>151</v>
      </c>
      <c r="D130" s="17">
        <v>1125</v>
      </c>
      <c r="E130" s="15">
        <v>1040</v>
      </c>
      <c r="F130" s="12">
        <v>750</v>
      </c>
      <c r="G130" s="20">
        <f t="shared" si="11"/>
        <v>750</v>
      </c>
      <c r="H130" s="15"/>
      <c r="I130" s="19" t="s">
        <v>41</v>
      </c>
      <c r="J130" s="12"/>
      <c r="K130" s="12">
        <v>1000</v>
      </c>
      <c r="L130" s="20">
        <f>IF(I130="",0,IF(K130&gt;0,0,IF(I130="A",H130,IF(I130="M",H130*12,IF(I130="W",H130*(Lookups!$B$9+1),IF(I130="B",H130*(+Lookups!$B$10),IF(I130="S",H130*2,IF(AND(H130=0,K130&gt;0),K130,"ERROR"))))))))</f>
        <v>0</v>
      </c>
      <c r="M130" s="15"/>
      <c r="N130" s="19"/>
      <c r="O130" s="12">
        <v>0</v>
      </c>
      <c r="P130" s="12"/>
      <c r="Q130" s="20">
        <f>IF(N130="",0,IF(P130&gt;0,0,IF(N130="A",M130,IF(N130="M",M130*12,IF(N130="W",M130*(Lookups!$B$9),IF(N130="B",M130*(+Lookups!$B$10),IF(N130="S",M130*2,IF(AND(M130=0,P130&gt;0),P130,"ERROR"))))))))</f>
        <v>0</v>
      </c>
      <c r="R130" s="15"/>
      <c r="S130" s="19"/>
      <c r="T130" s="12"/>
      <c r="U130" s="20">
        <f>IF(R130="",0,IF(T130&gt;0,0,IF(S130="A",R130,IF(S130="M",R130*12,IF(S130="W",R130*Lookups!B$9,IF(S130="B",R130*+Lookups!B$10,IF(S130="S",R130*2,IF(AND(R130=0,T130&gt;0),T130,"ERROR"))))))))</f>
        <v>0</v>
      </c>
      <c r="V130" s="130" t="str">
        <f>IF(OR(AND(Q130=0,H130=0),P130&gt;0),"",IF(AND(I130="W",N130="W"),ROUND(Q130-(H130*Lookups!$B$9),0),ROUND(+Q130-L130,0)))</f>
        <v/>
      </c>
      <c r="W130" s="75" t="str">
        <f t="shared" si="8"/>
        <v/>
      </c>
      <c r="X130" s="123" t="str">
        <f t="shared" si="10"/>
        <v/>
      </c>
      <c r="Y130" s="123" t="str">
        <f t="shared" si="9"/>
        <v/>
      </c>
      <c r="Z130" s="121"/>
    </row>
    <row r="131" spans="1:31" x14ac:dyDescent="0.35">
      <c r="B131" s="21" t="s">
        <v>653</v>
      </c>
      <c r="C131" s="4" t="s">
        <v>654</v>
      </c>
      <c r="D131" s="17"/>
      <c r="E131" s="15"/>
      <c r="F131" s="12"/>
      <c r="G131" s="20"/>
      <c r="H131" s="15"/>
      <c r="I131" s="19"/>
      <c r="J131" s="12"/>
      <c r="K131" s="12"/>
      <c r="L131" s="20"/>
      <c r="M131" s="15"/>
      <c r="N131" s="19"/>
      <c r="O131" s="12">
        <v>700</v>
      </c>
      <c r="P131" s="12">
        <v>1000</v>
      </c>
      <c r="Q131" s="20">
        <f>IF(N131="",0,IF(P131&gt;0,0,IF(N131="A",M131,IF(N131="M",M131*12,IF(N131="W",M131*(Lookups!$B$9),IF(N131="B",M131*(+Lookups!$B$10),IF(N131="S",M131*2,IF(AND(M131=0,P131&gt;0),P131,"ERROR"))))))))</f>
        <v>0</v>
      </c>
      <c r="R131" s="15"/>
      <c r="S131" s="19"/>
      <c r="T131" s="12"/>
      <c r="U131" s="20">
        <f>IF(R131="",0,IF(T131&gt;0,0,IF(S131="A",R131,IF(S131="M",R131*12,IF(S131="W",R131*Lookups!B$9,IF(S131="B",R131*+Lookups!B$10,IF(S131="S",R131*2,IF(AND(R131=0,T131&gt;0),T131,"ERROR"))))))))</f>
        <v>0</v>
      </c>
      <c r="V131" s="130" t="str">
        <f>IF(OR(AND(Q131=0,H131=0),P131&gt;0),"",IF(AND(I131="W",N131="W"),ROUND(Q131-(H131*Lookups!$B$9),0),ROUND(+Q131-L131,0)))</f>
        <v/>
      </c>
      <c r="W131" s="75" t="str">
        <f t="shared" si="8"/>
        <v>E</v>
      </c>
      <c r="X131" s="123" t="str">
        <f t="shared" si="10"/>
        <v/>
      </c>
      <c r="Y131" s="123" t="str">
        <f t="shared" si="9"/>
        <v>Y</v>
      </c>
      <c r="Z131" s="121"/>
    </row>
    <row r="132" spans="1:31" x14ac:dyDescent="0.35">
      <c r="B132" s="21" t="s">
        <v>653</v>
      </c>
      <c r="C132" s="4" t="s">
        <v>655</v>
      </c>
      <c r="D132" s="17"/>
      <c r="E132" s="15"/>
      <c r="F132" s="12"/>
      <c r="G132" s="20"/>
      <c r="H132" s="15"/>
      <c r="I132" s="19"/>
      <c r="J132" s="12"/>
      <c r="K132" s="12"/>
      <c r="L132" s="20"/>
      <c r="M132" s="15"/>
      <c r="N132" s="19"/>
      <c r="O132" s="12">
        <v>175</v>
      </c>
      <c r="P132" s="12">
        <v>175</v>
      </c>
      <c r="Q132" s="20">
        <f>IF(N132="",0,IF(P132&gt;0,0,IF(N132="A",M132,IF(N132="M",M132*12,IF(N132="W",M132*(Lookups!$B$9),IF(N132="B",M132*(+Lookups!$B$10),IF(N132="S",M132*2,IF(AND(M132=0,P132&gt;0),P132,"ERROR"))))))))</f>
        <v>0</v>
      </c>
      <c r="R132" s="15"/>
      <c r="S132" s="19"/>
      <c r="T132" s="12"/>
      <c r="U132" s="20">
        <f>IF(R132="",0,IF(T132&gt;0,0,IF(S132="A",R132,IF(S132="M",R132*12,IF(S132="W",R132*Lookups!B$9,IF(S132="B",R132*+Lookups!B$10,IF(S132="S",R132*2,IF(AND(R132=0,T132&gt;0),T132,"ERROR"))))))))</f>
        <v>0</v>
      </c>
      <c r="V132" s="130" t="str">
        <f>IF(OR(AND(Q132=0,H132=0),P132&gt;0),"",IF(AND(I132="W",N132="W"),ROUND(Q132-(H132*Lookups!$B$9),0),ROUND(+Q132-L132,0)))</f>
        <v/>
      </c>
      <c r="W132" s="75" t="str">
        <f t="shared" si="8"/>
        <v>E</v>
      </c>
      <c r="X132" s="123" t="str">
        <f t="shared" si="10"/>
        <v/>
      </c>
      <c r="Y132" s="123" t="str">
        <f t="shared" si="9"/>
        <v>Y</v>
      </c>
      <c r="Z132" s="121"/>
    </row>
    <row r="133" spans="1:31" x14ac:dyDescent="0.35">
      <c r="B133" s="21" t="s">
        <v>372</v>
      </c>
      <c r="C133" s="4" t="s">
        <v>26</v>
      </c>
      <c r="D133" s="17"/>
      <c r="E133" s="15"/>
      <c r="F133" s="12">
        <v>180</v>
      </c>
      <c r="G133" s="20">
        <f t="shared" si="11"/>
        <v>180</v>
      </c>
      <c r="H133" s="15">
        <v>75</v>
      </c>
      <c r="I133" s="19" t="s">
        <v>42</v>
      </c>
      <c r="J133" s="12">
        <v>675</v>
      </c>
      <c r="K133" s="12"/>
      <c r="L133" s="20">
        <f>IF(I133="",0,IF(K133&gt;0,0,IF(I133="A",H133,IF(I133="M",H133*12,IF(I133="W",H133*(Lookups!$B$9+1),IF(I133="B",H133*(+Lookups!$B$10),IF(I133="S",H133*2,IF(AND(H133=0,K133&gt;0),K133,"ERROR"))))))))</f>
        <v>900</v>
      </c>
      <c r="M133" s="15">
        <v>75</v>
      </c>
      <c r="N133" s="19" t="s">
        <v>42</v>
      </c>
      <c r="O133" s="12">
        <v>600</v>
      </c>
      <c r="P133" s="12"/>
      <c r="Q133" s="20">
        <f>IF(N133="",0,IF(P133&gt;0,0,IF(N133="A",M133,IF(N133="M",M133*12,IF(N133="W",M133*(Lookups!$B$9),IF(N133="B",M133*(+Lookups!$B$10),IF(N133="S",M133*2,IF(AND(M133=0,P133&gt;0),P133,"ERROR"))))))))</f>
        <v>900</v>
      </c>
      <c r="R133" s="15">
        <v>75</v>
      </c>
      <c r="S133" s="19" t="s">
        <v>42</v>
      </c>
      <c r="T133" s="12"/>
      <c r="U133" s="20">
        <f>IF(R133="",0,IF(T133&gt;0,0,IF(S133="A",R133,IF(S133="M",R133*12,IF(S133="W",R133*Lookups!B$9,IF(S133="B",R133*+Lookups!B$10,IF(S133="S",R133*2,IF(AND(R133=0,T133&gt;0),T133,"ERROR"))))))))</f>
        <v>900</v>
      </c>
      <c r="V133" s="130">
        <f>IF(OR(AND(Q133=0,H133=0),P133&gt;0),"",IF(AND(I133="W",N133="W"),ROUND(Q133-(H133*Lookups!$B$9),0),ROUND(+Q133-L133,0)))</f>
        <v>0</v>
      </c>
      <c r="W133" s="75" t="str">
        <f t="shared" ref="W133:W196" si="12">IF(P133&gt;0,"E",IF(V133="","",IF(V133=0,"S",IF(AND(V133&gt;0,NOT(H133=0)),"I",IF(AND(V133&gt;0,H133=0),"N",IF(V133&lt;0,"D","ERROR"))))))</f>
        <v>S</v>
      </c>
      <c r="X133" s="123" t="str">
        <f t="shared" si="10"/>
        <v>N</v>
      </c>
      <c r="Y133" s="123" t="str">
        <f t="shared" ref="Y133:Y196" si="13">IF(AND(P133&gt;0,W133="E"),"Y",IF(AND(OR(P133&lt;0,P133=0),W133="E"),"P",""))</f>
        <v/>
      </c>
      <c r="Z133" s="121"/>
      <c r="AA133" s="52" t="s">
        <v>572</v>
      </c>
      <c r="AB133" s="53" t="s">
        <v>573</v>
      </c>
      <c r="AC133" s="53" t="s">
        <v>559</v>
      </c>
      <c r="AD133" s="54" t="s">
        <v>395</v>
      </c>
      <c r="AE133" s="55">
        <v>53406</v>
      </c>
    </row>
    <row r="134" spans="1:31" x14ac:dyDescent="0.35">
      <c r="B134" s="21" t="s">
        <v>372</v>
      </c>
      <c r="C134" s="4" t="s">
        <v>312</v>
      </c>
      <c r="D134" s="17"/>
      <c r="E134" s="15"/>
      <c r="F134" s="12">
        <v>2000</v>
      </c>
      <c r="G134" s="20">
        <f t="shared" si="11"/>
        <v>2000</v>
      </c>
      <c r="H134" s="15"/>
      <c r="I134" s="19"/>
      <c r="J134" s="12">
        <v>3650</v>
      </c>
      <c r="K134" s="12">
        <v>2000</v>
      </c>
      <c r="L134" s="20">
        <f>IF(I134="",0,IF(K134&gt;0,0,IF(I134="A",H134,IF(I134="M",H134*12,IF(I134="W",H134*(Lookups!$B$9+1),IF(I134="B",H134*(+Lookups!$B$10),IF(I134="S",H134*2,IF(AND(H134=0,K134&gt;0),K134,"ERROR"))))))))</f>
        <v>0</v>
      </c>
      <c r="M134" s="15">
        <v>500</v>
      </c>
      <c r="N134" s="19" t="s">
        <v>42</v>
      </c>
      <c r="O134" s="12">
        <v>4050</v>
      </c>
      <c r="P134" s="12"/>
      <c r="Q134" s="20">
        <f>IF(N134="",0,IF(P134&gt;0,0,IF(N134="A",M134,IF(N134="M",M134*12,IF(N134="W",M134*(Lookups!$B$9),IF(N134="B",M134*(+Lookups!$B$10),IF(N134="S",M134*2,IF(AND(M134=0,P134&gt;0),P134,"ERROR"))))))))</f>
        <v>6000</v>
      </c>
      <c r="R134" s="15">
        <v>500</v>
      </c>
      <c r="S134" s="19" t="s">
        <v>42</v>
      </c>
      <c r="T134" s="12"/>
      <c r="U134" s="20">
        <f>IF(R134="",0,IF(T134&gt;0,0,IF(S134="A",R134,IF(S134="M",R134*12,IF(S134="W",R134*Lookups!B$9,IF(S134="B",R134*+Lookups!B$10,IF(S134="S",R134*2,IF(AND(R134=0,T134&gt;0),T134,"ERROR"))))))))</f>
        <v>6000</v>
      </c>
      <c r="V134" s="130">
        <f>IF(OR(AND(Q134=0,H134=0),P134&gt;0),"",IF(AND(I134="W",N134="W"),ROUND(Q134-(H134*Lookups!$B$9),0),ROUND(+Q134-L134,0)))</f>
        <v>6000</v>
      </c>
      <c r="W134" s="75" t="str">
        <f t="shared" si="12"/>
        <v>N</v>
      </c>
      <c r="X134" s="123" t="str">
        <f t="shared" si="10"/>
        <v>N</v>
      </c>
      <c r="Y134" s="123" t="str">
        <f t="shared" si="13"/>
        <v/>
      </c>
      <c r="Z134" s="121"/>
      <c r="AA134" s="52" t="s">
        <v>574</v>
      </c>
      <c r="AB134" s="53" t="s">
        <v>575</v>
      </c>
      <c r="AC134" s="53" t="s">
        <v>418</v>
      </c>
      <c r="AD134" s="54" t="s">
        <v>395</v>
      </c>
      <c r="AE134" s="55">
        <v>53403</v>
      </c>
    </row>
    <row r="135" spans="1:31" x14ac:dyDescent="0.35">
      <c r="B135" s="134" t="s">
        <v>292</v>
      </c>
      <c r="C135" s="4" t="s">
        <v>293</v>
      </c>
      <c r="D135" s="17">
        <v>2800</v>
      </c>
      <c r="E135" s="15"/>
      <c r="F135" s="12">
        <v>900</v>
      </c>
      <c r="G135" s="20">
        <f t="shared" ref="G135:G168" si="14">IF(E135=0,F135,IF(AND(F135=0,J135="A"),E135,IF(F135&gt;E135,F135, IF(F135/E135&gt;0.73,E135,F135))))</f>
        <v>900</v>
      </c>
      <c r="H135" s="15"/>
      <c r="I135" s="19"/>
      <c r="J135" s="12">
        <v>2550</v>
      </c>
      <c r="K135" s="12">
        <v>1000</v>
      </c>
      <c r="L135" s="20">
        <f>IF(I135="",0,IF(K135&gt;0,0,IF(I135="A",H135,IF(I135="M",H135*12,IF(I135="W",H135*(Lookups!$B$9+1),IF(I135="B",H135*(+Lookups!$B$10),IF(I135="S",H135*2,IF(AND(H135=0,K135&gt;0),K135,"ERROR"))))))))</f>
        <v>0</v>
      </c>
      <c r="M135" s="15"/>
      <c r="N135" s="19"/>
      <c r="O135" s="12">
        <v>3100</v>
      </c>
      <c r="P135" s="12">
        <v>3500</v>
      </c>
      <c r="Q135" s="20">
        <f>IF(N135="",0,IF(P135&gt;0,0,IF(N135="A",M135,IF(N135="M",M135*12,IF(N135="W",M135*(Lookups!$B$9),IF(N135="B",M135*(+Lookups!$B$10),IF(N135="S",M135*2,IF(AND(M135=0,P135&gt;0),P135,"ERROR"))))))))</f>
        <v>0</v>
      </c>
      <c r="R135" s="15"/>
      <c r="S135" s="19"/>
      <c r="T135" s="12">
        <v>2500</v>
      </c>
      <c r="U135" s="20">
        <f>IF(R135="",0,IF(T135&gt;0,0,IF(S135="A",R135,IF(S135="M",R135*12,IF(S135="W",R135*Lookups!B$9,IF(S135="B",R135*+Lookups!B$10,IF(S135="S",R135*2,IF(AND(R135=0,T135&gt;0),T135,"ERROR"))))))))</f>
        <v>0</v>
      </c>
      <c r="V135" s="130" t="str">
        <f>IF(OR(AND(Q135=0,H135=0),P135&gt;0),"",IF(AND(I135="W",N135="W"),ROUND(Q135-(H135*Lookups!$B$9),0),ROUND(+Q135-L135,0)))</f>
        <v/>
      </c>
      <c r="W135" s="75" t="str">
        <f t="shared" si="12"/>
        <v>E</v>
      </c>
      <c r="X135" s="123" t="str">
        <f t="shared" si="10"/>
        <v/>
      </c>
      <c r="Y135" s="123" t="str">
        <f t="shared" si="13"/>
        <v>Y</v>
      </c>
      <c r="Z135" s="121"/>
    </row>
    <row r="136" spans="1:31" x14ac:dyDescent="0.35">
      <c r="B136" s="168" t="s">
        <v>656</v>
      </c>
      <c r="C136" s="4" t="s">
        <v>657</v>
      </c>
      <c r="D136" s="17"/>
      <c r="E136" s="15"/>
      <c r="F136" s="12"/>
      <c r="G136" s="20"/>
      <c r="H136" s="15"/>
      <c r="I136" s="19"/>
      <c r="J136" s="12"/>
      <c r="K136" s="12"/>
      <c r="L136" s="20"/>
      <c r="M136" s="15"/>
      <c r="N136" s="19"/>
      <c r="O136" s="12">
        <v>2800</v>
      </c>
      <c r="P136" s="12">
        <v>4000</v>
      </c>
      <c r="Q136" s="20">
        <f>IF(N136="",0,IF(P136&gt;0,0,IF(N136="A",M136,IF(N136="M",M136*12,IF(N136="W",M136*(Lookups!$B$9),IF(N136="B",M136*(+Lookups!$B$10),IF(N136="S",M136*2,IF(AND(M136=0,P136&gt;0),P136,"ERROR"))))))))</f>
        <v>0</v>
      </c>
      <c r="R136" s="15"/>
      <c r="S136" s="19"/>
      <c r="T136" s="12"/>
      <c r="U136" s="20">
        <f>IF(R136="",0,IF(T136&gt;0,0,IF(S136="A",R136,IF(S136="M",R136*12,IF(S136="W",R136*Lookups!B$9,IF(S136="B",R136*+Lookups!B$10,IF(S136="S",R136*2,IF(AND(R136=0,T136&gt;0),T136,"ERROR"))))))))</f>
        <v>0</v>
      </c>
      <c r="V136" s="130" t="str">
        <f>IF(OR(AND(Q136=0,H136=0),P136&gt;0),"",IF(AND(I136="W",N136="W"),ROUND(Q136-(H136*Lookups!$B$9),0),ROUND(+Q136-L136,0)))</f>
        <v/>
      </c>
      <c r="W136" s="75" t="str">
        <f t="shared" si="12"/>
        <v>E</v>
      </c>
      <c r="X136" s="123" t="str">
        <f t="shared" ref="X136:X199" si="15">IF(Q136&gt;0,IF(OR(O136=Q136,O136&gt;Q136),"Y","N"),"")</f>
        <v/>
      </c>
      <c r="Y136" s="123" t="str">
        <f t="shared" si="13"/>
        <v>Y</v>
      </c>
      <c r="Z136" s="121"/>
    </row>
    <row r="137" spans="1:31" x14ac:dyDescent="0.35">
      <c r="B137" s="21" t="s">
        <v>152</v>
      </c>
      <c r="C137" s="4" t="s">
        <v>153</v>
      </c>
      <c r="D137" s="17">
        <v>4560</v>
      </c>
      <c r="E137" s="15">
        <v>4680</v>
      </c>
      <c r="F137" s="12">
        <v>3390</v>
      </c>
      <c r="G137" s="20">
        <f t="shared" si="14"/>
        <v>3390</v>
      </c>
      <c r="H137" s="15"/>
      <c r="I137" s="19" t="s">
        <v>41</v>
      </c>
      <c r="J137" s="12">
        <v>3260</v>
      </c>
      <c r="K137" s="12">
        <v>4000</v>
      </c>
      <c r="L137" s="20">
        <f>IF(I137="",0,IF(K137&gt;0,0,IF(I137="A",H137,IF(I137="M",H137*12,IF(I137="W",H137*(Lookups!$B$9+1),IF(I137="B",H137*(+Lookups!$B$10),IF(I137="S",H137*2,IF(AND(H137=0,K137&gt;0),K137,"ERROR"))))))))</f>
        <v>0</v>
      </c>
      <c r="M137" s="15"/>
      <c r="N137" s="19"/>
      <c r="O137" s="12">
        <v>2670</v>
      </c>
      <c r="P137" s="12">
        <v>4000</v>
      </c>
      <c r="Q137" s="20">
        <f>IF(N137="",0,IF(P137&gt;0,0,IF(N137="A",M137,IF(N137="M",M137*12,IF(N137="W",M137*(Lookups!$B$9),IF(N137="B",M137*(+Lookups!$B$10),IF(N137="S",M137*2,IF(AND(M137=0,P137&gt;0),P137,"ERROR"))))))))</f>
        <v>0</v>
      </c>
      <c r="R137" s="15"/>
      <c r="S137" s="19"/>
      <c r="T137" s="12">
        <v>4000</v>
      </c>
      <c r="U137" s="20">
        <f>IF(R137="",0,IF(T137&gt;0,0,IF(S137="A",R137,IF(S137="M",R137*12,IF(S137="W",R137*Lookups!B$9,IF(S137="B",R137*+Lookups!B$10,IF(S137="S",R137*2,IF(AND(R137=0,T137&gt;0),T137,"ERROR"))))))))</f>
        <v>0</v>
      </c>
      <c r="V137" s="130" t="str">
        <f>IF(OR(AND(Q137=0,H137=0),P137&gt;0),"",IF(AND(I137="W",N137="W"),ROUND(Q137-(H137*Lookups!$B$9),0),ROUND(+Q137-L137,0)))</f>
        <v/>
      </c>
      <c r="W137" s="75" t="str">
        <f t="shared" si="12"/>
        <v>E</v>
      </c>
      <c r="X137" s="123" t="str">
        <f t="shared" si="15"/>
        <v/>
      </c>
      <c r="Y137" s="123" t="str">
        <f t="shared" si="13"/>
        <v>Y</v>
      </c>
      <c r="Z137" s="121"/>
    </row>
    <row r="138" spans="1:31" x14ac:dyDescent="0.35">
      <c r="B138" s="21" t="s">
        <v>373</v>
      </c>
      <c r="C138" s="4" t="s">
        <v>374</v>
      </c>
      <c r="D138" s="17"/>
      <c r="E138" s="15"/>
      <c r="F138" s="12">
        <v>500</v>
      </c>
      <c r="G138" s="20">
        <f t="shared" si="14"/>
        <v>500</v>
      </c>
      <c r="H138" s="15">
        <v>100</v>
      </c>
      <c r="I138" s="19" t="s">
        <v>42</v>
      </c>
      <c r="J138" s="12">
        <v>900</v>
      </c>
      <c r="K138" s="12"/>
      <c r="L138" s="20">
        <f>IF(I138="",0,IF(K138&gt;0,0,IF(I138="A",H138,IF(I138="M",H138*12,IF(I138="W",H138*(Lookups!$B$9+1),IF(I138="B",H138*(+Lookups!$B$10),IF(I138="S",H138*2,IF(AND(H138=0,K138&gt;0),K138,"ERROR"))))))))</f>
        <v>1200</v>
      </c>
      <c r="M138" s="15">
        <v>100</v>
      </c>
      <c r="N138" s="19" t="s">
        <v>42</v>
      </c>
      <c r="O138" s="12">
        <v>800</v>
      </c>
      <c r="P138" s="12"/>
      <c r="Q138" s="20">
        <f>IF(N138="",0,IF(P138&gt;0,0,IF(N138="A",M138,IF(N138="M",M138*12,IF(N138="W",M138*(Lookups!$B$9),IF(N138="B",M138*(+Lookups!$B$10),IF(N138="S",M138*2,IF(AND(M138=0,P138&gt;0),P138,"ERROR"))))))))</f>
        <v>1200</v>
      </c>
      <c r="R138" s="15">
        <v>100</v>
      </c>
      <c r="S138" s="19" t="s">
        <v>42</v>
      </c>
      <c r="T138" s="12"/>
      <c r="U138" s="20">
        <f>IF(R138="",0,IF(T138&gt;0,0,IF(S138="A",R138,IF(S138="M",R138*12,IF(S138="W",R138*Lookups!B$9,IF(S138="B",R138*+Lookups!B$10,IF(S138="S",R138*2,IF(AND(R138=0,T138&gt;0),T138,"ERROR"))))))))</f>
        <v>1200</v>
      </c>
      <c r="V138" s="130">
        <f>IF(OR(AND(Q138=0,H138=0),P138&gt;0),"",IF(AND(I138="W",N138="W"),ROUND(Q138-(H138*Lookups!$B$9),0),ROUND(+Q138-L138,0)))</f>
        <v>0</v>
      </c>
      <c r="W138" s="75" t="str">
        <f t="shared" si="12"/>
        <v>S</v>
      </c>
      <c r="X138" s="123" t="str">
        <f t="shared" si="15"/>
        <v>N</v>
      </c>
      <c r="Y138" s="123" t="str">
        <f t="shared" si="13"/>
        <v/>
      </c>
      <c r="Z138" s="121"/>
      <c r="AA138" s="52" t="s">
        <v>462</v>
      </c>
      <c r="AB138" s="53" t="s">
        <v>463</v>
      </c>
      <c r="AC138" s="53" t="s">
        <v>418</v>
      </c>
      <c r="AD138" s="54" t="s">
        <v>395</v>
      </c>
      <c r="AE138" s="55">
        <v>53402</v>
      </c>
    </row>
    <row r="139" spans="1:31" x14ac:dyDescent="0.35">
      <c r="B139" s="21" t="s">
        <v>154</v>
      </c>
      <c r="C139" s="4" t="s">
        <v>155</v>
      </c>
      <c r="D139" s="17">
        <v>3840</v>
      </c>
      <c r="E139" s="15">
        <v>3840</v>
      </c>
      <c r="F139" s="12">
        <v>2880</v>
      </c>
      <c r="G139" s="20">
        <f t="shared" si="14"/>
        <v>3840</v>
      </c>
      <c r="H139" s="15">
        <v>320</v>
      </c>
      <c r="I139" s="19" t="s">
        <v>42</v>
      </c>
      <c r="J139" s="12">
        <v>2640</v>
      </c>
      <c r="K139" s="12"/>
      <c r="L139" s="20">
        <f>IF(I139="",0,IF(K139&gt;0,0,IF(I139="A",H139,IF(I139="M",H139*12,IF(I139="W",H139*(Lookups!$B$9+1),IF(I139="B",H139*(+Lookups!$B$10),IF(I139="S",H139*2,IF(AND(H139=0,K139&gt;0),K139,"ERROR"))))))))</f>
        <v>3840</v>
      </c>
      <c r="M139" s="15">
        <v>340</v>
      </c>
      <c r="N139" s="19" t="s">
        <v>42</v>
      </c>
      <c r="O139" s="12">
        <v>2640</v>
      </c>
      <c r="P139" s="12"/>
      <c r="Q139" s="20">
        <f>IF(N139="",0,IF(P139&gt;0,0,IF(N139="A",M139,IF(N139="M",M139*12,IF(N139="W",M139*(Lookups!$B$9),IF(N139="B",M139*(+Lookups!$B$10),IF(N139="S",M139*2,IF(AND(M139=0,P139&gt;0),P139,"ERROR"))))))))</f>
        <v>4080</v>
      </c>
      <c r="R139" s="15">
        <v>340</v>
      </c>
      <c r="S139" s="19" t="s">
        <v>42</v>
      </c>
      <c r="T139" s="12"/>
      <c r="U139" s="20">
        <f>IF(R139="",0,IF(T139&gt;0,0,IF(S139="A",R139,IF(S139="M",R139*12,IF(S139="W",R139*Lookups!B$9,IF(S139="B",R139*+Lookups!B$10,IF(S139="S",R139*2,IF(AND(R139=0,T139&gt;0),T139,"ERROR"))))))))</f>
        <v>4080</v>
      </c>
      <c r="V139" s="130">
        <f>IF(OR(AND(Q139=0,H139=0),P139&gt;0),"",IF(AND(I139="W",N139="W"),ROUND(Q139-(H139*Lookups!$B$9),0),ROUND(+Q139-L139,0)))</f>
        <v>240</v>
      </c>
      <c r="W139" s="75" t="str">
        <f t="shared" si="12"/>
        <v>I</v>
      </c>
      <c r="X139" s="123" t="str">
        <f t="shared" si="15"/>
        <v>N</v>
      </c>
      <c r="Y139" s="123" t="str">
        <f t="shared" si="13"/>
        <v/>
      </c>
      <c r="Z139" s="121"/>
      <c r="AA139" s="52" t="s">
        <v>464</v>
      </c>
      <c r="AB139" s="53" t="s">
        <v>465</v>
      </c>
      <c r="AC139" s="53" t="s">
        <v>418</v>
      </c>
      <c r="AD139" s="54" t="s">
        <v>395</v>
      </c>
      <c r="AE139" s="55" t="s">
        <v>576</v>
      </c>
    </row>
    <row r="140" spans="1:31" x14ac:dyDescent="0.35">
      <c r="A140" s="139" t="s">
        <v>638</v>
      </c>
      <c r="B140" s="108" t="s">
        <v>294</v>
      </c>
      <c r="C140" s="109" t="s">
        <v>291</v>
      </c>
      <c r="D140" s="127">
        <v>100</v>
      </c>
      <c r="E140" s="111"/>
      <c r="F140" s="110"/>
      <c r="G140" s="112">
        <f t="shared" si="14"/>
        <v>0</v>
      </c>
      <c r="H140" s="111"/>
      <c r="I140" s="113"/>
      <c r="J140" s="110"/>
      <c r="K140" s="110"/>
      <c r="L140" s="112">
        <f>IF(I140="",0,IF(K140&gt;0,0,IF(I140="A",H140,IF(I140="M",H140*12,IF(I140="W",H140*(Lookups!$B$9+1),IF(I140="B",H140*(+Lookups!$B$10),IF(I140="S",H140*2,IF(AND(H140=0,K140&gt;0),K140,"ERROR"))))))))</f>
        <v>0</v>
      </c>
      <c r="M140" s="111"/>
      <c r="N140" s="113"/>
      <c r="O140" s="110">
        <v>0</v>
      </c>
      <c r="P140" s="110"/>
      <c r="Q140" s="112">
        <f>IF(N140="",0,IF(P140&gt;0,0,IF(N140="A",M140,IF(N140="M",M140*12,IF(N140="W",M140*(Lookups!$B$9),IF(N140="B",M140*(+Lookups!$B$10),IF(N140="S",M140*2,IF(AND(M140=0,P140&gt;0),P140,"ERROR"))))))))</f>
        <v>0</v>
      </c>
      <c r="R140" s="111"/>
      <c r="S140" s="113"/>
      <c r="T140" s="110"/>
      <c r="U140" s="112">
        <f>IF(R140="",0,IF(T140&gt;0,0,IF(S140="A",R140,IF(S140="M",R140*12,IF(S140="W",R140*Lookups!B$9,IF(S140="B",R140*+Lookups!B$10,IF(S140="S",R140*2,IF(AND(R140=0,T140&gt;0),T140,"ERROR"))))))))</f>
        <v>0</v>
      </c>
      <c r="V140" s="85" t="str">
        <f>IF(OR(AND(Q140=0,H140=0),P140&gt;0),"",IF(AND(I140="W",N140="W"),ROUND(Q140-(H140*Lookups!$B$9),0),ROUND(+Q140-L140,0)))</f>
        <v/>
      </c>
      <c r="W140" s="86" t="str">
        <f t="shared" si="12"/>
        <v/>
      </c>
      <c r="X140" s="123" t="str">
        <f t="shared" si="15"/>
        <v/>
      </c>
      <c r="Y140" s="123" t="str">
        <f t="shared" si="13"/>
        <v/>
      </c>
      <c r="Z140" s="122"/>
      <c r="AA140" s="114" t="s">
        <v>502</v>
      </c>
      <c r="AB140" s="114"/>
      <c r="AC140" s="114"/>
      <c r="AD140" s="115"/>
      <c r="AE140" s="116"/>
    </row>
    <row r="141" spans="1:31" x14ac:dyDescent="0.35">
      <c r="B141" s="21" t="s">
        <v>156</v>
      </c>
      <c r="C141" s="4" t="s">
        <v>312</v>
      </c>
      <c r="D141" s="17">
        <v>780</v>
      </c>
      <c r="E141" s="15">
        <v>884</v>
      </c>
      <c r="F141" s="12">
        <v>620</v>
      </c>
      <c r="G141" s="20">
        <f t="shared" si="14"/>
        <v>620</v>
      </c>
      <c r="H141" s="15">
        <v>20</v>
      </c>
      <c r="I141" s="19" t="s">
        <v>41</v>
      </c>
      <c r="J141" s="12">
        <v>800</v>
      </c>
      <c r="K141" s="12"/>
      <c r="L141" s="20">
        <f>IF(I141="",0,IF(K141&gt;0,0,IF(I141="A",H141,IF(I141="M",H141*12,IF(I141="W",H141*(Lookups!$B$9+1),IF(I141="B",H141*(+Lookups!$B$10),IF(I141="S",H141*2,IF(AND(H141=0,K141&gt;0),K141,"ERROR"))))))))</f>
        <v>1060</v>
      </c>
      <c r="M141" s="15">
        <v>20</v>
      </c>
      <c r="N141" s="19" t="s">
        <v>41</v>
      </c>
      <c r="O141" s="12">
        <v>680</v>
      </c>
      <c r="P141" s="12"/>
      <c r="Q141" s="20">
        <f>IF(N141="",0,IF(P141&gt;0,0,IF(N141="A",M141,IF(N141="M",M141*12,IF(N141="W",M141*(Lookups!$B$9),IF(N141="B",M141*(+Lookups!$B$10),IF(N141="S",M141*2,IF(AND(M141=0,P141&gt;0),P141,"ERROR"))))))))</f>
        <v>1040</v>
      </c>
      <c r="R141" s="15">
        <v>20</v>
      </c>
      <c r="S141" s="19" t="s">
        <v>41</v>
      </c>
      <c r="T141" s="12"/>
      <c r="U141" s="20">
        <f>IF(R141="",0,IF(T141&gt;0,0,IF(S141="A",R141,IF(S141="M",R141*12,IF(S141="W",R141*Lookups!B$9,IF(S141="B",R141*+Lookups!B$10,IF(S141="S",R141*2,IF(AND(R141=0,T141&gt;0),T141,"ERROR"))))))))</f>
        <v>1040</v>
      </c>
      <c r="V141" s="130">
        <f>IF(OR(AND(Q141=0,H141=0),P141&gt;0),"",IF(AND(I141="W",N141="W"),ROUND(Q141-(H141*Lookups!$B$9),0),ROUND(+Q141-L141,0)))</f>
        <v>0</v>
      </c>
      <c r="W141" s="75" t="str">
        <f t="shared" si="12"/>
        <v>S</v>
      </c>
      <c r="X141" s="123" t="str">
        <f t="shared" si="15"/>
        <v>N</v>
      </c>
      <c r="Y141" s="123" t="str">
        <f t="shared" si="13"/>
        <v/>
      </c>
      <c r="Z141" s="121"/>
      <c r="AA141" s="52" t="s">
        <v>466</v>
      </c>
      <c r="AB141" s="53" t="s">
        <v>467</v>
      </c>
      <c r="AC141" s="53" t="s">
        <v>400</v>
      </c>
      <c r="AD141" s="54" t="s">
        <v>395</v>
      </c>
      <c r="AE141" s="55">
        <v>53126</v>
      </c>
    </row>
    <row r="142" spans="1:31" x14ac:dyDescent="0.35">
      <c r="B142" s="21" t="s">
        <v>626</v>
      </c>
      <c r="C142" s="4" t="s">
        <v>627</v>
      </c>
      <c r="D142" s="17"/>
      <c r="E142" s="15"/>
      <c r="F142" s="12"/>
      <c r="G142" s="20">
        <f t="shared" si="14"/>
        <v>0</v>
      </c>
      <c r="H142" s="15"/>
      <c r="I142" s="19"/>
      <c r="J142" s="12">
        <v>100</v>
      </c>
      <c r="K142" s="12"/>
      <c r="L142" s="20">
        <f>IF(I142="",0,IF(K142&gt;0,0,IF(I142="A",H142,IF(I142="M",H142*12,IF(I142="W",H142*(Lookups!$B$9+1),IF(I142="B",H142*(+Lookups!$B$10),IF(I142="S",H142*2,IF(AND(H142=0,K142&gt;0),K142,"ERROR"))))))))</f>
        <v>0</v>
      </c>
      <c r="M142" s="15"/>
      <c r="N142" s="19"/>
      <c r="O142" s="12">
        <v>100</v>
      </c>
      <c r="P142" s="12">
        <v>100</v>
      </c>
      <c r="Q142" s="20">
        <f>IF(N142="",0,IF(P142&gt;0,0,IF(N142="A",M142,IF(N142="M",M142*12,IF(N142="W",M142*(Lookups!$B$9),IF(N142="B",M142*(+Lookups!$B$10),IF(N142="S",M142*2,IF(AND(M142=0,P142&gt;0),P142,"ERROR"))))))))</f>
        <v>0</v>
      </c>
      <c r="R142" s="15"/>
      <c r="S142" s="19"/>
      <c r="T142" s="12"/>
      <c r="U142" s="20">
        <f>IF(R142="",0,IF(T142&gt;0,0,IF(S142="A",R142,IF(S142="M",R142*12,IF(S142="W",R142*Lookups!B$9,IF(S142="B",R142*+Lookups!B$10,IF(S142="S",R142*2,IF(AND(R142=0,T142&gt;0),T142,"ERROR"))))))))</f>
        <v>0</v>
      </c>
      <c r="V142" s="130" t="str">
        <f>IF(OR(AND(Q142=0,H142=0),P142&gt;0),"",IF(AND(I142="W",N142="W"),ROUND(Q142-(H142*Lookups!$B$9),0),ROUND(+Q142-L142,0)))</f>
        <v/>
      </c>
      <c r="W142" s="75" t="str">
        <f t="shared" si="12"/>
        <v>E</v>
      </c>
      <c r="X142" s="123" t="str">
        <f t="shared" si="15"/>
        <v/>
      </c>
      <c r="Y142" s="123" t="str">
        <f t="shared" si="13"/>
        <v>Y</v>
      </c>
      <c r="Z142" s="121"/>
      <c r="AA142" s="52"/>
    </row>
    <row r="143" spans="1:31" x14ac:dyDescent="0.35">
      <c r="B143" s="21" t="s">
        <v>157</v>
      </c>
      <c r="C143" s="4" t="s">
        <v>158</v>
      </c>
      <c r="D143" s="17">
        <v>91</v>
      </c>
      <c r="E143" s="15">
        <v>364</v>
      </c>
      <c r="F143" s="12">
        <v>161</v>
      </c>
      <c r="G143" s="20">
        <f t="shared" si="14"/>
        <v>161</v>
      </c>
      <c r="H143" s="15">
        <v>8</v>
      </c>
      <c r="I143" s="19" t="s">
        <v>41</v>
      </c>
      <c r="J143" s="12">
        <v>175</v>
      </c>
      <c r="K143" s="12"/>
      <c r="L143" s="20">
        <f>IF(I143="",0,IF(K143&gt;0,0,IF(I143="A",H143,IF(I143="M",H143*12,IF(I143="W",H143*(Lookups!$B$9+1),IF(I143="B",H143*(+Lookups!$B$10),IF(I143="S",H143*2,IF(AND(H143=0,K143&gt;0),K143,"ERROR"))))))))</f>
        <v>424</v>
      </c>
      <c r="M143" s="15">
        <v>9</v>
      </c>
      <c r="N143" s="19" t="s">
        <v>41</v>
      </c>
      <c r="O143" s="12">
        <v>0</v>
      </c>
      <c r="P143" s="12">
        <v>1</v>
      </c>
      <c r="Q143" s="20">
        <f>IF(N143="",0,IF(P143&gt;0,0,IF(N143="A",M143,IF(N143="M",M143*12,IF(N143="W",M143*(Lookups!$B$9),IF(N143="B",M143*(+Lookups!$B$10),IF(N143="S",M143*2,IF(AND(M143=0,P143&gt;0),P143,"ERROR"))))))))</f>
        <v>0</v>
      </c>
      <c r="R143" s="15">
        <v>9</v>
      </c>
      <c r="S143" s="19" t="s">
        <v>41</v>
      </c>
      <c r="T143" s="12"/>
      <c r="U143" s="20">
        <f>IF(R143="",0,IF(T143&gt;0,0,IF(S143="A",R143,IF(S143="M",R143*12,IF(S143="W",R143*Lookups!B$9,IF(S143="B",R143*+Lookups!B$10,IF(S143="S",R143*2,IF(AND(R143=0,T143&gt;0),T143,"ERROR"))))))))</f>
        <v>468</v>
      </c>
      <c r="V143" s="130" t="str">
        <f>IF(OR(AND(Q143=0,H143=0),P143&gt;0),"",IF(AND(I143="W",N143="W"),ROUND(Q143-(H143*Lookups!$B$9),0),ROUND(+Q143-L143,0)))</f>
        <v/>
      </c>
      <c r="W143" s="75" t="str">
        <f t="shared" si="12"/>
        <v>E</v>
      </c>
      <c r="X143" s="123" t="str">
        <f t="shared" si="15"/>
        <v/>
      </c>
      <c r="Y143" s="123" t="str">
        <f t="shared" si="13"/>
        <v>Y</v>
      </c>
      <c r="Z143" s="121"/>
      <c r="AA143" s="52" t="s">
        <v>468</v>
      </c>
      <c r="AB143" s="53" t="s">
        <v>469</v>
      </c>
      <c r="AC143" s="53" t="s">
        <v>418</v>
      </c>
      <c r="AD143" s="54" t="s">
        <v>395</v>
      </c>
      <c r="AE143" s="55">
        <v>53406</v>
      </c>
    </row>
    <row r="144" spans="1:31" x14ac:dyDescent="0.35">
      <c r="B144" s="134" t="s">
        <v>159</v>
      </c>
      <c r="C144" s="4" t="s">
        <v>160</v>
      </c>
      <c r="D144" s="17">
        <v>3450</v>
      </c>
      <c r="E144" s="15">
        <v>3600</v>
      </c>
      <c r="F144" s="12">
        <v>2700</v>
      </c>
      <c r="G144" s="20">
        <f t="shared" si="14"/>
        <v>3600</v>
      </c>
      <c r="H144" s="15">
        <v>300</v>
      </c>
      <c r="I144" s="19" t="s">
        <v>42</v>
      </c>
      <c r="J144" s="12">
        <v>2700</v>
      </c>
      <c r="K144" s="12"/>
      <c r="L144" s="20">
        <f>IF(I144="",0,IF(K144&gt;0,0,IF(I144="A",H144,IF(I144="M",H144*12,IF(I144="W",H144*(Lookups!$B$9+1),IF(I144="B",H144*(+Lookups!$B$10),IF(I144="S",H144*2,IF(AND(H144=0,K144&gt;0),K144,"ERROR"))))))))</f>
        <v>3600</v>
      </c>
      <c r="M144" s="15">
        <v>300</v>
      </c>
      <c r="N144" s="19" t="s">
        <v>42</v>
      </c>
      <c r="O144" s="12">
        <v>2400</v>
      </c>
      <c r="P144" s="12"/>
      <c r="Q144" s="20">
        <f>IF(N144="",0,IF(P144&gt;0,0,IF(N144="A",M144,IF(N144="M",M144*12,IF(N144="W",M144*(Lookups!$B$9),IF(N144="B",M144*(+Lookups!$B$10),IF(N144="S",M144*2,IF(AND(M144=0,P144&gt;0),P144,"ERROR"))))))))</f>
        <v>3600</v>
      </c>
      <c r="R144" s="15"/>
      <c r="S144" s="19"/>
      <c r="T144" s="12">
        <f>300*12</f>
        <v>3600</v>
      </c>
      <c r="U144" s="20">
        <f>IF(R144="",0,IF(T144&gt;0,0,IF(S144="A",R144,IF(S144="M",R144*12,IF(S144="W",R144*Lookups!B$9,IF(S144="B",R144*+Lookups!B$10,IF(S144="S",R144*2,IF(AND(R144=0,T144&gt;0),T144,"ERROR"))))))))</f>
        <v>0</v>
      </c>
      <c r="V144" s="130">
        <f>IF(OR(AND(Q144=0,H144=0),P144&gt;0),"",IF(AND(I144="W",N144="W"),ROUND(Q144-(H144*Lookups!$B$9),0),ROUND(+Q144-L144,0)))</f>
        <v>0</v>
      </c>
      <c r="W144" s="75" t="str">
        <f t="shared" si="12"/>
        <v>S</v>
      </c>
      <c r="X144" s="123" t="str">
        <f t="shared" si="15"/>
        <v>N</v>
      </c>
      <c r="Y144" s="123" t="str">
        <f t="shared" si="13"/>
        <v/>
      </c>
      <c r="Z144" s="121"/>
    </row>
    <row r="145" spans="1:31" x14ac:dyDescent="0.35">
      <c r="A145" s="139" t="s">
        <v>638</v>
      </c>
      <c r="B145" s="21" t="s">
        <v>161</v>
      </c>
      <c r="C145" s="4" t="s">
        <v>295</v>
      </c>
      <c r="D145" s="17">
        <v>40</v>
      </c>
      <c r="E145" s="15"/>
      <c r="F145" s="12">
        <v>40</v>
      </c>
      <c r="G145" s="20">
        <f t="shared" si="14"/>
        <v>40</v>
      </c>
      <c r="H145" s="15"/>
      <c r="I145" s="19"/>
      <c r="J145" s="12">
        <v>20</v>
      </c>
      <c r="K145" s="12"/>
      <c r="L145" s="20">
        <f>IF(I145="",0,IF(K145&gt;0,0,IF(I145="A",H145,IF(I145="M",H145*12,IF(I145="W",H145*(Lookups!$B$9+1),IF(I145="B",H145*(+Lookups!$B$10),IF(I145="S",H145*2,IF(AND(H145=0,K145&gt;0),K145,"ERROR"))))))))</f>
        <v>0</v>
      </c>
      <c r="M145" s="15"/>
      <c r="N145" s="19"/>
      <c r="O145" s="12">
        <v>0</v>
      </c>
      <c r="P145" s="12"/>
      <c r="Q145" s="20">
        <f>IF(N145="",0,IF(P145&gt;0,0,IF(N145="A",M145,IF(N145="M",M145*12,IF(N145="W",M145*(Lookups!$B$9),IF(N145="B",M145*(+Lookups!$B$10),IF(N145="S",M145*2,IF(AND(M145=0,P145&gt;0),P145,"ERROR"))))))))</f>
        <v>0</v>
      </c>
      <c r="R145" s="15"/>
      <c r="S145" s="19"/>
      <c r="T145" s="12"/>
      <c r="U145" s="20">
        <f>IF(R145="",0,IF(T145&gt;0,0,IF(S145="A",R145,IF(S145="M",R145*12,IF(S145="W",R145*Lookups!B$9,IF(S145="B",R145*+Lookups!B$10,IF(S145="S",R145*2,IF(AND(R145=0,T145&gt;0),T145,"ERROR"))))))))</f>
        <v>0</v>
      </c>
      <c r="V145" s="130" t="str">
        <f>IF(OR(AND(Q145=0,H145=0),P145&gt;0),"",IF(AND(I145="W",N145="W"),ROUND(Q145-(H145*Lookups!$B$9),0),ROUND(+Q145-L145,0)))</f>
        <v/>
      </c>
      <c r="W145" s="75" t="str">
        <f t="shared" si="12"/>
        <v/>
      </c>
      <c r="X145" s="123" t="str">
        <f t="shared" si="15"/>
        <v/>
      </c>
      <c r="Y145" s="123" t="str">
        <f t="shared" si="13"/>
        <v/>
      </c>
      <c r="Z145" s="121"/>
    </row>
    <row r="146" spans="1:31" x14ac:dyDescent="0.35">
      <c r="B146" s="21" t="s">
        <v>161</v>
      </c>
      <c r="C146" s="4" t="s">
        <v>470</v>
      </c>
      <c r="D146" s="17">
        <v>4900</v>
      </c>
      <c r="E146" s="15">
        <v>5040</v>
      </c>
      <c r="F146" s="12">
        <v>3825</v>
      </c>
      <c r="G146" s="20">
        <f t="shared" si="14"/>
        <v>5040</v>
      </c>
      <c r="H146" s="15">
        <v>420</v>
      </c>
      <c r="I146" s="19" t="s">
        <v>42</v>
      </c>
      <c r="J146" s="12">
        <v>3830</v>
      </c>
      <c r="K146" s="12"/>
      <c r="L146" s="20">
        <f>IF(I146="",0,IF(K146&gt;0,0,IF(I146="A",H146,IF(I146="M",H146*12,IF(I146="W",H146*(Lookups!$B$9+1),IF(I146="B",H146*(+Lookups!$B$10),IF(I146="S",H146*2,IF(AND(H146=0,K146&gt;0),K146,"ERROR"))))))))</f>
        <v>5040</v>
      </c>
      <c r="M146" s="15">
        <v>430</v>
      </c>
      <c r="N146" s="19" t="s">
        <v>42</v>
      </c>
      <c r="O146" s="12">
        <v>3485</v>
      </c>
      <c r="P146" s="12"/>
      <c r="Q146" s="20">
        <f>IF(N146="",0,IF(P146&gt;0,0,IF(N146="A",M146,IF(N146="M",M146*12,IF(N146="W",M146*(Lookups!$B$9),IF(N146="B",M146*(+Lookups!$B$10),IF(N146="S",M146*2,IF(AND(M146=0,P146&gt;0),P146,"ERROR"))))))))</f>
        <v>5160</v>
      </c>
      <c r="R146" s="15">
        <v>430</v>
      </c>
      <c r="S146" s="19" t="s">
        <v>42</v>
      </c>
      <c r="T146" s="12"/>
      <c r="U146" s="20">
        <f>IF(R146="",0,IF(T146&gt;0,0,IF(S146="A",R146,IF(S146="M",R146*12,IF(S146="W",R146*Lookups!B$9,IF(S146="B",R146*+Lookups!B$10,IF(S146="S",R146*2,IF(AND(R146=0,T146&gt;0),T146,"ERROR"))))))))</f>
        <v>5160</v>
      </c>
      <c r="V146" s="130">
        <f>IF(OR(AND(Q146=0,H146=0),P146&gt;0),"",IF(AND(I146="W",N146="W"),ROUND(Q146-(H146*Lookups!$B$9),0),ROUND(+Q146-L146,0)))</f>
        <v>120</v>
      </c>
      <c r="W146" s="75" t="str">
        <f t="shared" si="12"/>
        <v>I</v>
      </c>
      <c r="X146" s="123" t="str">
        <f t="shared" si="15"/>
        <v>N</v>
      </c>
      <c r="Y146" s="123" t="str">
        <f t="shared" si="13"/>
        <v/>
      </c>
      <c r="Z146" s="121"/>
      <c r="AA146" s="52" t="s">
        <v>471</v>
      </c>
      <c r="AB146" s="53" t="s">
        <v>472</v>
      </c>
      <c r="AC146" s="53" t="s">
        <v>412</v>
      </c>
      <c r="AD146" s="54" t="s">
        <v>395</v>
      </c>
      <c r="AE146" s="55">
        <v>53108</v>
      </c>
    </row>
    <row r="147" spans="1:31" x14ac:dyDescent="0.35">
      <c r="A147" s="139" t="s">
        <v>638</v>
      </c>
      <c r="B147" s="21" t="s">
        <v>161</v>
      </c>
      <c r="C147" s="4" t="s">
        <v>296</v>
      </c>
      <c r="D147" s="17">
        <v>1560</v>
      </c>
      <c r="E147" s="15"/>
      <c r="F147" s="12"/>
      <c r="G147" s="20">
        <f t="shared" si="14"/>
        <v>0</v>
      </c>
      <c r="H147" s="15"/>
      <c r="I147" s="19"/>
      <c r="J147" s="12"/>
      <c r="K147" s="12"/>
      <c r="L147" s="20">
        <f>IF(I147="",0,IF(K147&gt;0,0,IF(I147="A",H147,IF(I147="M",H147*12,IF(I147="W",H147*(Lookups!$B$9+1),IF(I147="B",H147*(+Lookups!$B$10),IF(I147="S",H147*2,IF(AND(H147=0,K147&gt;0),K147,"ERROR"))))))))</f>
        <v>0</v>
      </c>
      <c r="M147" s="15"/>
      <c r="N147" s="19"/>
      <c r="O147" s="12">
        <v>0</v>
      </c>
      <c r="P147" s="12"/>
      <c r="Q147" s="20">
        <f>IF(N147="",0,IF(P147&gt;0,0,IF(N147="A",M147,IF(N147="M",M147*12,IF(N147="W",M147*(Lookups!$B$9),IF(N147="B",M147*(+Lookups!$B$10),IF(N147="S",M147*2,IF(AND(M147=0,P147&gt;0),P147,"ERROR"))))))))</f>
        <v>0</v>
      </c>
      <c r="R147" s="15"/>
      <c r="S147" s="19"/>
      <c r="T147" s="12"/>
      <c r="U147" s="20">
        <f>IF(R147="",0,IF(T147&gt;0,0,IF(S147="A",R147,IF(S147="M",R147*12,IF(S147="W",R147*Lookups!B$9,IF(S147="B",R147*+Lookups!B$10,IF(S147="S",R147*2,IF(AND(R147=0,T147&gt;0),T147,"ERROR"))))))))</f>
        <v>0</v>
      </c>
      <c r="V147" s="130" t="str">
        <f>IF(OR(AND(Q147=0,H147=0),P147&gt;0),"",IF(AND(I147="W",N147="W"),ROUND(Q147-(H147*Lookups!$B$9),0),ROUND(+Q147-L147,0)))</f>
        <v/>
      </c>
      <c r="W147" s="75" t="str">
        <f t="shared" si="12"/>
        <v/>
      </c>
      <c r="X147" s="123" t="str">
        <f t="shared" si="15"/>
        <v/>
      </c>
      <c r="Y147" s="123" t="str">
        <f t="shared" si="13"/>
        <v/>
      </c>
      <c r="Z147" s="121"/>
    </row>
    <row r="148" spans="1:31" ht="29" x14ac:dyDescent="0.35">
      <c r="B148" s="21" t="s">
        <v>161</v>
      </c>
      <c r="C148" s="4" t="s">
        <v>160</v>
      </c>
      <c r="D148" s="17">
        <v>0</v>
      </c>
      <c r="E148" s="15"/>
      <c r="F148" s="12"/>
      <c r="G148" s="20">
        <f t="shared" si="14"/>
        <v>0</v>
      </c>
      <c r="H148" s="15"/>
      <c r="I148" s="19"/>
      <c r="J148" s="12"/>
      <c r="K148" s="12"/>
      <c r="L148" s="20">
        <f>IF(I148="",0,IF(K148&gt;0,0,IF(I148="A",H148,IF(I148="M",H148*12,IF(I148="W",H148*(Lookups!$B$9+1),IF(I148="B",H148*(+Lookups!$B$10),IF(I148="S",H148*2,IF(AND(H148=0,K148&gt;0),K148,"ERROR"))))))))</f>
        <v>0</v>
      </c>
      <c r="M148" s="15">
        <v>300</v>
      </c>
      <c r="N148" s="19" t="s">
        <v>42</v>
      </c>
      <c r="O148" s="12">
        <v>0</v>
      </c>
      <c r="P148" s="12">
        <v>1</v>
      </c>
      <c r="Q148" s="20">
        <f>IF(N148="",0,IF(P148&gt;0,0,IF(N148="A",M148,IF(N148="M",M148*12,IF(N148="W",M148*(Lookups!$B$9),IF(N148="B",M148*(+Lookups!$B$10),IF(N148="S",M148*2,IF(AND(M148=0,P148&gt;0),P148,"ERROR"))))))))</f>
        <v>0</v>
      </c>
      <c r="R148" s="15">
        <v>300</v>
      </c>
      <c r="S148" s="19" t="s">
        <v>42</v>
      </c>
      <c r="T148" s="12"/>
      <c r="U148" s="20">
        <f>IF(R148="",0,IF(T148&gt;0,0,IF(S148="A",R148,IF(S148="M",R148*12,IF(S148="W",R148*Lookups!B$9,IF(S148="B",R148*+Lookups!B$10,IF(S148="S",R148*2,IF(AND(R148=0,T148&gt;0),T148,"ERROR"))))))))</f>
        <v>3600</v>
      </c>
      <c r="V148" s="130" t="str">
        <f>IF(OR(AND(Q148=0,H148=0),P148&gt;0),"",IF(AND(I148="W",N148="W"),ROUND(Q148-(H148*Lookups!$B$9),0),ROUND(+Q148-L148,0)))</f>
        <v/>
      </c>
      <c r="W148" s="75" t="str">
        <f t="shared" si="12"/>
        <v>E</v>
      </c>
      <c r="X148" s="123" t="str">
        <f t="shared" si="15"/>
        <v/>
      </c>
      <c r="Y148" s="123" t="str">
        <f t="shared" si="13"/>
        <v>Y</v>
      </c>
      <c r="Z148" s="126" t="s">
        <v>579</v>
      </c>
      <c r="AA148" s="52" t="s">
        <v>577</v>
      </c>
      <c r="AB148" s="53" t="s">
        <v>578</v>
      </c>
      <c r="AC148" s="53" t="s">
        <v>418</v>
      </c>
      <c r="AD148" s="54" t="s">
        <v>395</v>
      </c>
      <c r="AE148" s="55">
        <v>53405</v>
      </c>
    </row>
    <row r="149" spans="1:31" x14ac:dyDescent="0.35">
      <c r="A149" s="139" t="s">
        <v>638</v>
      </c>
      <c r="B149" s="21" t="s">
        <v>161</v>
      </c>
      <c r="C149" s="4" t="s">
        <v>297</v>
      </c>
      <c r="D149" s="17">
        <v>240</v>
      </c>
      <c r="E149" s="15"/>
      <c r="F149" s="12">
        <v>20</v>
      </c>
      <c r="G149" s="20">
        <f t="shared" si="14"/>
        <v>20</v>
      </c>
      <c r="H149" s="15"/>
      <c r="I149" s="19"/>
      <c r="J149" s="12"/>
      <c r="K149" s="12"/>
      <c r="L149" s="20">
        <f>IF(I149="",0,IF(K149&gt;0,0,IF(I149="A",H149,IF(I149="M",H149*12,IF(I149="W",H149*(Lookups!$B$9+1),IF(I149="B",H149*(+Lookups!$B$10),IF(I149="S",H149*2,IF(AND(H149=0,K149&gt;0),K149,"ERROR"))))))))</f>
        <v>0</v>
      </c>
      <c r="M149" s="15"/>
      <c r="N149" s="19"/>
      <c r="O149" s="12">
        <v>0</v>
      </c>
      <c r="P149" s="12"/>
      <c r="Q149" s="20">
        <f>IF(N149="",0,IF(P149&gt;0,0,IF(N149="A",M149,IF(N149="M",M149*12,IF(N149="W",M149*(Lookups!$B$9),IF(N149="B",M149*(+Lookups!$B$10),IF(N149="S",M149*2,IF(AND(M149=0,P149&gt;0),P149,"ERROR"))))))))</f>
        <v>0</v>
      </c>
      <c r="R149" s="15"/>
      <c r="S149" s="19"/>
      <c r="T149" s="12"/>
      <c r="U149" s="20">
        <f>IF(R149="",0,IF(T149&gt;0,0,IF(S149="A",R149,IF(S149="M",R149*12,IF(S149="W",R149*Lookups!B$9,IF(S149="B",R149*+Lookups!B$10,IF(S149="S",R149*2,IF(AND(R149=0,T149&gt;0),T149,"ERROR"))))))))</f>
        <v>0</v>
      </c>
      <c r="V149" s="130" t="str">
        <f>IF(OR(AND(Q149=0,H149=0),P149&gt;0),"",IF(AND(I149="W",N149="W"),ROUND(Q149-(H149*Lookups!$B$9),0),ROUND(+Q149-L149,0)))</f>
        <v/>
      </c>
      <c r="W149" s="75" t="str">
        <f t="shared" si="12"/>
        <v/>
      </c>
      <c r="X149" s="123" t="str">
        <f t="shared" si="15"/>
        <v/>
      </c>
      <c r="Y149" s="123" t="str">
        <f t="shared" si="13"/>
        <v/>
      </c>
      <c r="Z149" s="121"/>
    </row>
    <row r="150" spans="1:31" x14ac:dyDescent="0.35">
      <c r="B150" s="21" t="s">
        <v>658</v>
      </c>
      <c r="C150" s="4" t="s">
        <v>659</v>
      </c>
      <c r="D150" s="17"/>
      <c r="E150" s="15"/>
      <c r="F150" s="12"/>
      <c r="G150" s="20"/>
      <c r="H150" s="15"/>
      <c r="I150" s="19"/>
      <c r="J150" s="12"/>
      <c r="K150" s="12"/>
      <c r="L150" s="20"/>
      <c r="M150" s="15"/>
      <c r="N150" s="19"/>
      <c r="O150" s="12">
        <v>2000</v>
      </c>
      <c r="P150" s="12">
        <f>+O150/8*12</f>
        <v>3000</v>
      </c>
      <c r="Q150" s="20">
        <f>IF(N150="",0,IF(P150&gt;0,0,IF(N150="A",M150,IF(N150="M",M150*12,IF(N150="W",M150*(Lookups!$B$9),IF(N150="B",M150*(+Lookups!$B$10),IF(N150="S",M150*2,IF(AND(M150=0,P150&gt;0),P150,"ERROR"))))))))</f>
        <v>0</v>
      </c>
      <c r="R150" s="15"/>
      <c r="S150" s="19"/>
      <c r="T150" s="12"/>
      <c r="U150" s="20">
        <f>IF(R150="",0,IF(T150&gt;0,0,IF(S150="A",R150,IF(S150="M",R150*12,IF(S150="W",R150*Lookups!B$9,IF(S150="B",R150*+Lookups!B$10,IF(S150="S",R150*2,IF(AND(R150=0,T150&gt;0),T150,"ERROR"))))))))</f>
        <v>0</v>
      </c>
      <c r="V150" s="130" t="str">
        <f>IF(OR(AND(Q150=0,H150=0),P150&gt;0),"",IF(AND(I150="W",N150="W"),ROUND(Q150-(H150*Lookups!$B$9),0),ROUND(+Q150-L150,0)))</f>
        <v/>
      </c>
      <c r="W150" s="75" t="str">
        <f t="shared" si="12"/>
        <v>E</v>
      </c>
      <c r="X150" s="123" t="str">
        <f t="shared" si="15"/>
        <v/>
      </c>
      <c r="Y150" s="123" t="str">
        <f t="shared" si="13"/>
        <v>Y</v>
      </c>
      <c r="Z150" s="121"/>
    </row>
    <row r="151" spans="1:31" x14ac:dyDescent="0.35">
      <c r="A151" s="139" t="s">
        <v>638</v>
      </c>
      <c r="B151" s="21" t="s">
        <v>298</v>
      </c>
      <c r="C151" s="4" t="s">
        <v>299</v>
      </c>
      <c r="D151" s="17">
        <v>200</v>
      </c>
      <c r="E151" s="15"/>
      <c r="F151" s="12"/>
      <c r="G151" s="20">
        <f t="shared" si="14"/>
        <v>0</v>
      </c>
      <c r="H151" s="15"/>
      <c r="I151" s="19"/>
      <c r="J151" s="12"/>
      <c r="K151" s="12"/>
      <c r="L151" s="20">
        <f>IF(I151="",0,IF(K151&gt;0,0,IF(I151="A",H151,IF(I151="M",H151*12,IF(I151="W",H151*(Lookups!$B$9+1),IF(I151="B",H151*(+Lookups!$B$10),IF(I151="S",H151*2,IF(AND(H151=0,K151&gt;0),K151,"ERROR"))))))))</f>
        <v>0</v>
      </c>
      <c r="M151" s="15"/>
      <c r="N151" s="19"/>
      <c r="O151" s="12">
        <v>0</v>
      </c>
      <c r="P151" s="12"/>
      <c r="Q151" s="20">
        <f>IF(N151="",0,IF(P151&gt;0,0,IF(N151="A",M151,IF(N151="M",M151*12,IF(N151="W",M151*(Lookups!$B$9),IF(N151="B",M151*(+Lookups!$B$10),IF(N151="S",M151*2,IF(AND(M151=0,P151&gt;0),P151,"ERROR"))))))))</f>
        <v>0</v>
      </c>
      <c r="R151" s="15"/>
      <c r="S151" s="19"/>
      <c r="T151" s="12"/>
      <c r="U151" s="20">
        <f>IF(R151="",0,IF(T151&gt;0,0,IF(S151="A",R151,IF(S151="M",R151*12,IF(S151="W",R151*Lookups!B$9,IF(S151="B",R151*+Lookups!B$10,IF(S151="S",R151*2,IF(AND(R151=0,T151&gt;0),T151,"ERROR"))))))))</f>
        <v>0</v>
      </c>
      <c r="V151" s="130" t="str">
        <f>IF(OR(AND(Q151=0,H151=0),P151&gt;0),"",IF(AND(I151="W",N151="W"),ROUND(Q151-(H151*Lookups!$B$9),0),ROUND(+Q151-L151,0)))</f>
        <v/>
      </c>
      <c r="W151" s="75" t="str">
        <f t="shared" si="12"/>
        <v/>
      </c>
      <c r="X151" s="123" t="str">
        <f t="shared" si="15"/>
        <v/>
      </c>
      <c r="Y151" s="123" t="str">
        <f t="shared" si="13"/>
        <v/>
      </c>
      <c r="Z151" s="121"/>
    </row>
    <row r="152" spans="1:31" x14ac:dyDescent="0.35">
      <c r="B152" s="134" t="s">
        <v>300</v>
      </c>
      <c r="C152" s="4" t="s">
        <v>301</v>
      </c>
      <c r="D152" s="17">
        <v>3000</v>
      </c>
      <c r="E152" s="15"/>
      <c r="F152" s="12">
        <v>4000</v>
      </c>
      <c r="G152" s="20">
        <f t="shared" si="14"/>
        <v>4000</v>
      </c>
      <c r="H152" s="15">
        <v>3000</v>
      </c>
      <c r="I152" s="19" t="s">
        <v>38</v>
      </c>
      <c r="J152" s="12">
        <v>5000</v>
      </c>
      <c r="K152" s="12"/>
      <c r="L152" s="20">
        <f>IF(I152="",0,IF(K152&gt;0,0,IF(I152="A",H152,IF(I152="M",H152*12,IF(I152="W",H152*(Lookups!$B$9+1),IF(I152="B",H152*(+Lookups!$B$10),IF(I152="S",H152*2,IF(AND(H152=0,K152&gt;0),K152,"ERROR"))))))))</f>
        <v>3000</v>
      </c>
      <c r="M152" s="15"/>
      <c r="N152" s="19"/>
      <c r="O152" s="12">
        <v>4000</v>
      </c>
      <c r="P152" s="12">
        <v>5000</v>
      </c>
      <c r="Q152" s="20">
        <f>IF(N152="",0,IF(P152&gt;0,0,IF(N152="A",M152,IF(N152="M",M152*12,IF(N152="W",M152*(Lookups!$B$9),IF(N152="B",M152*(+Lookups!$B$10),IF(N152="S",M152*2,IF(AND(M152=0,P152&gt;0),P152,"ERROR"))))))))</f>
        <v>0</v>
      </c>
      <c r="R152" s="15"/>
      <c r="S152" s="19"/>
      <c r="T152" s="12">
        <v>5000</v>
      </c>
      <c r="U152" s="20">
        <f>IF(R152="",0,IF(T152&gt;0,0,IF(S152="A",R152,IF(S152="M",R152*12,IF(S152="W",R152*Lookups!B$9,IF(S152="B",R152*+Lookups!B$10,IF(S152="S",R152*2,IF(AND(R152=0,T152&gt;0),T152,"ERROR"))))))))</f>
        <v>0</v>
      </c>
      <c r="V152" s="130" t="str">
        <f>IF(OR(AND(Q152=0,H152=0),P152&gt;0),"",IF(AND(I152="W",N152="W"),ROUND(Q152-(H152*Lookups!$B$9),0),ROUND(+Q152-L152,0)))</f>
        <v/>
      </c>
      <c r="W152" s="75" t="str">
        <f t="shared" si="12"/>
        <v>E</v>
      </c>
      <c r="X152" s="123" t="str">
        <f t="shared" si="15"/>
        <v/>
      </c>
      <c r="Y152" s="123" t="str">
        <f t="shared" si="13"/>
        <v>Y</v>
      </c>
      <c r="Z152" s="121"/>
      <c r="AA152" s="57" t="s">
        <v>392</v>
      </c>
      <c r="AB152" s="53" t="s">
        <v>393</v>
      </c>
      <c r="AC152" s="53" t="s">
        <v>394</v>
      </c>
      <c r="AD152" s="54" t="s">
        <v>395</v>
      </c>
      <c r="AE152" s="55">
        <v>53406</v>
      </c>
    </row>
    <row r="153" spans="1:31" x14ac:dyDescent="0.35">
      <c r="B153" s="21" t="s">
        <v>302</v>
      </c>
      <c r="C153" s="4" t="s">
        <v>303</v>
      </c>
      <c r="D153" s="17">
        <v>200</v>
      </c>
      <c r="E153" s="15"/>
      <c r="F153" s="12">
        <v>150</v>
      </c>
      <c r="G153" s="20">
        <f t="shared" si="14"/>
        <v>150</v>
      </c>
      <c r="H153" s="15"/>
      <c r="I153" s="19"/>
      <c r="J153" s="12">
        <v>150</v>
      </c>
      <c r="K153" s="12"/>
      <c r="L153" s="20">
        <f>IF(I153="",0,IF(K153&gt;0,0,IF(I153="A",H153,IF(I153="M",H153*12,IF(I153="W",H153*(Lookups!$B$9+1),IF(I153="B",H153*(+Lookups!$B$10),IF(I153="S",H153*2,IF(AND(H153=0,K153&gt;0),K153,"ERROR"))))))))</f>
        <v>0</v>
      </c>
      <c r="M153" s="15"/>
      <c r="N153" s="19"/>
      <c r="O153" s="12">
        <v>100</v>
      </c>
      <c r="P153" s="12">
        <v>100</v>
      </c>
      <c r="Q153" s="20">
        <f>IF(N153="",0,IF(P153&gt;0,0,IF(N153="A",M153,IF(N153="M",M153*12,IF(N153="W",M153*(Lookups!$B$9),IF(N153="B",M153*(+Lookups!$B$10),IF(N153="S",M153*2,IF(AND(M153=0,P153&gt;0),P153,"ERROR"))))))))</f>
        <v>0</v>
      </c>
      <c r="R153" s="15"/>
      <c r="S153" s="19"/>
      <c r="T153" s="12"/>
      <c r="U153" s="20">
        <f>IF(R153="",0,IF(T153&gt;0,0,IF(S153="A",R153,IF(S153="M",R153*12,IF(S153="W",R153*Lookups!B$9,IF(S153="B",R153*+Lookups!B$10,IF(S153="S",R153*2,IF(AND(R153=0,T153&gt;0),T153,"ERROR"))))))))</f>
        <v>0</v>
      </c>
      <c r="V153" s="130" t="str">
        <f>IF(OR(AND(Q153=0,H153=0),P153&gt;0),"",IF(AND(I153="W",N153="W"),ROUND(Q153-(H153*Lookups!$B$9),0),ROUND(+Q153-L153,0)))</f>
        <v/>
      </c>
      <c r="W153" s="75" t="str">
        <f t="shared" si="12"/>
        <v>E</v>
      </c>
      <c r="X153" s="123" t="str">
        <f t="shared" si="15"/>
        <v/>
      </c>
      <c r="Y153" s="123" t="str">
        <f t="shared" si="13"/>
        <v>Y</v>
      </c>
      <c r="Z153" s="121"/>
    </row>
    <row r="154" spans="1:31" x14ac:dyDescent="0.35">
      <c r="B154" s="21" t="s">
        <v>304</v>
      </c>
      <c r="C154" s="4" t="s">
        <v>305</v>
      </c>
      <c r="D154" s="17">
        <v>4000</v>
      </c>
      <c r="E154" s="15"/>
      <c r="F154" s="12">
        <v>150</v>
      </c>
      <c r="G154" s="20">
        <f t="shared" si="14"/>
        <v>150</v>
      </c>
      <c r="H154" s="15"/>
      <c r="I154" s="19"/>
      <c r="J154" s="12">
        <v>1500</v>
      </c>
      <c r="K154" s="12"/>
      <c r="L154" s="20">
        <f>IF(I154="",0,IF(K154&gt;0,0,IF(I154="A",H154,IF(I154="M",H154*12,IF(I154="W",H154*(Lookups!$B$9+1),IF(I154="B",H154*(+Lookups!$B$10),IF(I154="S",H154*2,IF(AND(H154=0,K154&gt;0),K154,"ERROR"))))))))</f>
        <v>0</v>
      </c>
      <c r="M154" s="15">
        <v>50</v>
      </c>
      <c r="N154" s="19" t="s">
        <v>41</v>
      </c>
      <c r="O154" s="12">
        <v>1200</v>
      </c>
      <c r="P154" s="12"/>
      <c r="Q154" s="20">
        <f>IF(N154="",0,IF(P154&gt;0,0,IF(N154="A",M154,IF(N154="M",M154*12,IF(N154="W",M154*(Lookups!$B$9),IF(N154="B",M154*(+Lookups!$B$10),IF(N154="S",M154*2,IF(AND(M154=0,P154&gt;0),P154,"ERROR"))))))))</f>
        <v>2600</v>
      </c>
      <c r="R154" s="15">
        <v>50</v>
      </c>
      <c r="S154" s="19" t="s">
        <v>41</v>
      </c>
      <c r="T154" s="12"/>
      <c r="U154" s="20">
        <f>IF(R154="",0,IF(T154&gt;0,0,IF(S154="A",R154,IF(S154="M",R154*12,IF(S154="W",R154*Lookups!B$9,IF(S154="B",R154*+Lookups!B$10,IF(S154="S",R154*2,IF(AND(R154=0,T154&gt;0),T154,"ERROR"))))))))</f>
        <v>2600</v>
      </c>
      <c r="V154" s="130">
        <f>IF(OR(AND(Q154=0,H154=0),P154&gt;0),"",IF(AND(I154="W",N154="W"),ROUND(Q154-(H154*Lookups!$B$9),0),ROUND(+Q154-L154,0)))</f>
        <v>2600</v>
      </c>
      <c r="W154" s="75" t="str">
        <f t="shared" si="12"/>
        <v>N</v>
      </c>
      <c r="X154" s="123" t="str">
        <f t="shared" si="15"/>
        <v>N</v>
      </c>
      <c r="Y154" s="123" t="str">
        <f t="shared" si="13"/>
        <v/>
      </c>
      <c r="Z154" s="121"/>
      <c r="AA154" s="52" t="s">
        <v>580</v>
      </c>
      <c r="AB154" s="53" t="s">
        <v>586</v>
      </c>
      <c r="AC154" s="53" t="s">
        <v>418</v>
      </c>
      <c r="AD154" s="54" t="s">
        <v>395</v>
      </c>
      <c r="AE154" s="55">
        <v>53403</v>
      </c>
    </row>
    <row r="155" spans="1:31" x14ac:dyDescent="0.35">
      <c r="B155" s="21" t="s">
        <v>162</v>
      </c>
      <c r="C155" s="4" t="s">
        <v>163</v>
      </c>
      <c r="D155" s="17">
        <v>6725</v>
      </c>
      <c r="E155" s="15">
        <v>7200</v>
      </c>
      <c r="F155" s="12">
        <v>5850</v>
      </c>
      <c r="G155" s="20">
        <f t="shared" si="14"/>
        <v>7200</v>
      </c>
      <c r="H155" s="15">
        <v>125</v>
      </c>
      <c r="I155" s="19" t="s">
        <v>41</v>
      </c>
      <c r="J155" s="12">
        <v>5850</v>
      </c>
      <c r="K155" s="12"/>
      <c r="L155" s="20">
        <f>IF(I155="",0,IF(K155&gt;0,0,IF(I155="A",H155,IF(I155="M",H155*12,IF(I155="W",H155*(Lookups!$B$9+1),IF(I155="B",H155*(+Lookups!$B$10),IF(I155="S",H155*2,IF(AND(H155=0,K155&gt;0),K155,"ERROR"))))))))</f>
        <v>6625</v>
      </c>
      <c r="M155" s="15">
        <v>60</v>
      </c>
      <c r="N155" s="19" t="s">
        <v>41</v>
      </c>
      <c r="O155" s="12">
        <v>5250</v>
      </c>
      <c r="P155" s="12">
        <v>6000</v>
      </c>
      <c r="Q155" s="20">
        <f>IF(N155="",0,IF(P155&gt;0,0,IF(N155="A",M155,IF(N155="M",M155*12,IF(N155="W",M155*(Lookups!$B$9),IF(N155="B",M155*(+Lookups!$B$10),IF(N155="S",M155*2,IF(AND(M155=0,P155&gt;0),P155,"ERROR"))))))))</f>
        <v>0</v>
      </c>
      <c r="R155" s="15">
        <v>60</v>
      </c>
      <c r="S155" s="19" t="s">
        <v>41</v>
      </c>
      <c r="T155" s="12"/>
      <c r="U155" s="20">
        <f>IF(R155="",0,IF(T155&gt;0,0,IF(S155="A",R155,IF(S155="M",R155*12,IF(S155="W",R155*Lookups!B$9,IF(S155="B",R155*+Lookups!B$10,IF(S155="S",R155*2,IF(AND(R155=0,T155&gt;0),T155,"ERROR"))))))))</f>
        <v>3120</v>
      </c>
      <c r="V155" s="130" t="str">
        <f>IF(OR(AND(Q155=0,H155=0),P155&gt;0),"",IF(AND(I155="W",N155="W"),ROUND(Q155-(H155*Lookups!$B$9),0),ROUND(+Q155-L155,0)))</f>
        <v/>
      </c>
      <c r="W155" s="75" t="str">
        <f t="shared" si="12"/>
        <v>E</v>
      </c>
      <c r="X155" s="123" t="str">
        <f t="shared" si="15"/>
        <v/>
      </c>
      <c r="Y155" s="123" t="str">
        <f t="shared" si="13"/>
        <v>Y</v>
      </c>
      <c r="Z155" s="121"/>
      <c r="AA155" s="52" t="s">
        <v>473</v>
      </c>
      <c r="AB155" s="53" t="s">
        <v>474</v>
      </c>
      <c r="AC155" s="53" t="s">
        <v>394</v>
      </c>
      <c r="AD155" s="54" t="s">
        <v>395</v>
      </c>
      <c r="AE155" s="55">
        <v>53406</v>
      </c>
    </row>
    <row r="156" spans="1:31" x14ac:dyDescent="0.35">
      <c r="B156" s="134" t="s">
        <v>162</v>
      </c>
      <c r="C156" s="4" t="s">
        <v>164</v>
      </c>
      <c r="D156" s="17">
        <v>2323</v>
      </c>
      <c r="E156" s="15">
        <v>2340</v>
      </c>
      <c r="F156" s="12">
        <v>1750</v>
      </c>
      <c r="G156" s="20">
        <f t="shared" si="14"/>
        <v>2340</v>
      </c>
      <c r="H156" s="15">
        <v>50</v>
      </c>
      <c r="I156" s="19" t="s">
        <v>41</v>
      </c>
      <c r="J156" s="12">
        <v>1950</v>
      </c>
      <c r="K156" s="12"/>
      <c r="L156" s="20">
        <f>IF(I156="",0,IF(K156&gt;0,0,IF(I156="A",H156,IF(I156="M",H156*12,IF(I156="W",H156*(Lookups!$B$9+1),IF(I156="B",H156*(+Lookups!$B$10),IF(I156="S",H156*2,IF(AND(H156=0,K156&gt;0),K156,"ERROR"))))))))</f>
        <v>2650</v>
      </c>
      <c r="M156" s="15">
        <f>(2040/8)</f>
        <v>255</v>
      </c>
      <c r="N156" s="19" t="s">
        <v>42</v>
      </c>
      <c r="O156" s="12">
        <v>2145.0700000000002</v>
      </c>
      <c r="P156" s="12"/>
      <c r="Q156" s="20">
        <f>IF(N156="",0,IF(P156&gt;0,0,IF(N156="A",M156,IF(N156="M",M156*12,IF(N156="W",M156*(Lookups!$B$9),IF(N156="B",M156*(+Lookups!$B$10),IF(N156="S",M156*2,IF(AND(M156=0,P156&gt;0),P156,"ERROR"))))))))</f>
        <v>3060</v>
      </c>
      <c r="R156" s="15"/>
      <c r="S156" s="19"/>
      <c r="T156" s="12">
        <f>216.666666666667*12</f>
        <v>2600.0000000000041</v>
      </c>
      <c r="U156" s="20">
        <f>IF(R156="",0,IF(T156&gt;0,0,IF(S156="A",R156,IF(S156="M",R156*12,IF(S156="W",R156*Lookups!B$9,IF(S156="B",R156*+Lookups!B$10,IF(S156="S",R156*2,IF(AND(R156=0,T156&gt;0),T156,"ERROR"))))))))</f>
        <v>0</v>
      </c>
      <c r="V156" s="130">
        <f>IF(OR(AND(Q156=0,H156=0),P156&gt;0),"",IF(AND(I156="W",N156="W"),ROUND(Q156-(H156*Lookups!$B$9),0),ROUND(+Q156-L156,0)))</f>
        <v>410</v>
      </c>
      <c r="W156" s="75" t="str">
        <f t="shared" si="12"/>
        <v>I</v>
      </c>
      <c r="X156" s="123" t="str">
        <f t="shared" si="15"/>
        <v>N</v>
      </c>
      <c r="Y156" s="123" t="str">
        <f t="shared" si="13"/>
        <v/>
      </c>
      <c r="Z156" s="121"/>
      <c r="AA156" s="52" t="s">
        <v>475</v>
      </c>
      <c r="AB156" s="53" t="s">
        <v>476</v>
      </c>
      <c r="AC156" s="53" t="s">
        <v>394</v>
      </c>
      <c r="AD156" s="54" t="s">
        <v>395</v>
      </c>
      <c r="AE156" s="55">
        <v>53406</v>
      </c>
    </row>
    <row r="157" spans="1:31" x14ac:dyDescent="0.35">
      <c r="A157" s="139" t="s">
        <v>638</v>
      </c>
      <c r="B157" s="79" t="s">
        <v>306</v>
      </c>
      <c r="C157" s="80" t="s">
        <v>375</v>
      </c>
      <c r="D157" s="90"/>
      <c r="E157" s="82"/>
      <c r="F157" s="81">
        <v>1000</v>
      </c>
      <c r="G157" s="83">
        <f t="shared" si="14"/>
        <v>1000</v>
      </c>
      <c r="H157" s="82">
        <v>5000</v>
      </c>
      <c r="I157" s="84" t="s">
        <v>38</v>
      </c>
      <c r="J157" s="81"/>
      <c r="K157" s="81"/>
      <c r="L157" s="83">
        <f>IF(I157="",0,IF(K157&gt;0,0,IF(I157="A",H157,IF(I157="M",H157*12,IF(I157="W",H157*(Lookups!$B$9+1),IF(I157="B",H157*(+Lookups!$B$10),IF(I157="S",H157*2,IF(AND(H157=0,K157&gt;0),K157,"ERROR"))))))))</f>
        <v>5000</v>
      </c>
      <c r="M157" s="82"/>
      <c r="N157" s="84"/>
      <c r="O157" s="81">
        <v>0</v>
      </c>
      <c r="P157" s="81"/>
      <c r="Q157" s="83">
        <f>IF(N157="",0,IF(P157&gt;0,0,IF(N157="A",M157,IF(N157="M",M157*12,IF(N157="W",M157*(Lookups!$B$9),IF(N157="B",M157*(+Lookups!$B$10),IF(N157="S",M157*2,IF(AND(M157=0,P157&gt;0),P157,"ERROR"))))))))</f>
        <v>0</v>
      </c>
      <c r="R157" s="82"/>
      <c r="S157" s="84"/>
      <c r="T157" s="81"/>
      <c r="U157" s="83">
        <f>IF(R157="",0,IF(T157&gt;0,0,IF(S157="A",R157,IF(S157="M",R157*12,IF(S157="W",R157*Lookups!B$9,IF(S157="B",R157*+Lookups!B$10,IF(S157="S",R157*2,IF(AND(R157=0,T157&gt;0),T157,"ERROR"))))))))</f>
        <v>0</v>
      </c>
      <c r="V157" s="85">
        <f>IF(OR(AND(Q157=0,H157=0),P157&gt;0),"",IF(AND(I157="W",N157="W"),ROUND(Q157-(H157*Lookups!$B$9),0),ROUND(+Q157-L157,0)))</f>
        <v>-5000</v>
      </c>
      <c r="W157" s="173" t="s">
        <v>631</v>
      </c>
      <c r="X157" s="123" t="str">
        <f t="shared" si="15"/>
        <v/>
      </c>
      <c r="Y157" s="123" t="str">
        <f t="shared" si="13"/>
        <v/>
      </c>
      <c r="Z157" s="124" t="s">
        <v>505</v>
      </c>
      <c r="AA157" s="87"/>
      <c r="AB157" s="87"/>
      <c r="AC157" s="87"/>
      <c r="AD157" s="88"/>
      <c r="AE157" s="89"/>
    </row>
    <row r="158" spans="1:31" x14ac:dyDescent="0.35">
      <c r="A158" s="139" t="s">
        <v>638</v>
      </c>
      <c r="B158" s="21" t="s">
        <v>306</v>
      </c>
      <c r="C158" s="4" t="s">
        <v>176</v>
      </c>
      <c r="D158" s="17">
        <v>275</v>
      </c>
      <c r="E158" s="15"/>
      <c r="F158" s="12"/>
      <c r="G158" s="20">
        <f t="shared" si="14"/>
        <v>0</v>
      </c>
      <c r="H158" s="15"/>
      <c r="I158" s="19"/>
      <c r="J158" s="12"/>
      <c r="K158" s="12"/>
      <c r="L158" s="20">
        <f>IF(I158="",0,IF(K158&gt;0,0,IF(I158="A",H158,IF(I158="M",H158*12,IF(I158="W",H158*(Lookups!$B$9+1),IF(I158="B",H158*(+Lookups!$B$10),IF(I158="S",H158*2,IF(AND(H158=0,K158&gt;0),K158,"ERROR"))))))))</f>
        <v>0</v>
      </c>
      <c r="M158" s="15"/>
      <c r="N158" s="19"/>
      <c r="O158" s="12">
        <v>0</v>
      </c>
      <c r="P158" s="12"/>
      <c r="Q158" s="20">
        <f>IF(N158="",0,IF(P158&gt;0,0,IF(N158="A",M158,IF(N158="M",M158*12,IF(N158="W",M158*(Lookups!$B$9),IF(N158="B",M158*(+Lookups!$B$10),IF(N158="S",M158*2,IF(AND(M158=0,P158&gt;0),P158,"ERROR"))))))))</f>
        <v>0</v>
      </c>
      <c r="R158" s="15"/>
      <c r="S158" s="19"/>
      <c r="T158" s="12"/>
      <c r="U158" s="20">
        <f>IF(R158="",0,IF(T158&gt;0,0,IF(S158="A",R158,IF(S158="M",R158*12,IF(S158="W",R158*Lookups!B$9,IF(S158="B",R158*+Lookups!B$10,IF(S158="S",R158*2,IF(AND(R158=0,T158&gt;0),T158,"ERROR"))))))))</f>
        <v>0</v>
      </c>
      <c r="V158" s="130" t="str">
        <f>IF(OR(AND(Q158=0,H158=0),P158&gt;0),"",IF(AND(I158="W",N158="W"),ROUND(Q158-(H158*Lookups!$B$9),0),ROUND(+Q158-L158,0)))</f>
        <v/>
      </c>
      <c r="W158" s="75" t="str">
        <f t="shared" si="12"/>
        <v/>
      </c>
      <c r="X158" s="123" t="str">
        <f t="shared" si="15"/>
        <v/>
      </c>
      <c r="Y158" s="123" t="str">
        <f t="shared" si="13"/>
        <v/>
      </c>
      <c r="Z158" s="121"/>
    </row>
    <row r="159" spans="1:31" x14ac:dyDescent="0.35">
      <c r="B159" s="21" t="s">
        <v>165</v>
      </c>
      <c r="C159" s="4" t="s">
        <v>166</v>
      </c>
      <c r="D159" s="17">
        <v>960</v>
      </c>
      <c r="E159" s="15">
        <v>1200</v>
      </c>
      <c r="F159" s="12">
        <v>900</v>
      </c>
      <c r="G159" s="20">
        <f t="shared" si="14"/>
        <v>1200</v>
      </c>
      <c r="H159" s="15"/>
      <c r="I159" s="19" t="s">
        <v>42</v>
      </c>
      <c r="J159" s="12">
        <v>900</v>
      </c>
      <c r="K159" s="12">
        <v>1200</v>
      </c>
      <c r="L159" s="20">
        <f>IF(I159="",0,IF(K159&gt;0,0,IF(I159="A",H159,IF(I159="M",H159*12,IF(I159="W",H159*(Lookups!$B$9+1),IF(I159="B",H159*(+Lookups!$B$10),IF(I159="S",H159*2,IF(AND(H159=0,K159&gt;0),K159,"ERROR"))))))))</f>
        <v>0</v>
      </c>
      <c r="M159" s="15"/>
      <c r="N159" s="19"/>
      <c r="O159" s="12">
        <v>800</v>
      </c>
      <c r="P159" s="12">
        <v>1200</v>
      </c>
      <c r="Q159" s="20">
        <f>IF(N159="",0,IF(P159&gt;0,0,IF(N159="A",M159,IF(N159="M",M159*12,IF(N159="W",M159*(Lookups!$B$9),IF(N159="B",M159*(+Lookups!$B$10),IF(N159="S",M159*2,IF(AND(M159=0,P159&gt;0),P159,"ERROR"))))))))</f>
        <v>0</v>
      </c>
      <c r="R159" s="15"/>
      <c r="S159" s="19"/>
      <c r="T159" s="12">
        <f>100*12</f>
        <v>1200</v>
      </c>
      <c r="U159" s="20">
        <f>IF(R159="",0,IF(T159&gt;0,0,IF(S159="A",R159,IF(S159="M",R159*12,IF(S159="W",R159*Lookups!B$9,IF(S159="B",R159*+Lookups!B$10,IF(S159="S",R159*2,IF(AND(R159=0,T159&gt;0),T159,"ERROR"))))))))</f>
        <v>0</v>
      </c>
      <c r="V159" s="130" t="str">
        <f>IF(OR(AND(Q159=0,H159=0),P159&gt;0),"",IF(AND(I159="W",N159="W"),ROUND(Q159-(H159*Lookups!$B$9),0),ROUND(+Q159-L159,0)))</f>
        <v/>
      </c>
      <c r="W159" s="75" t="str">
        <f t="shared" si="12"/>
        <v>E</v>
      </c>
      <c r="X159" s="123" t="str">
        <f t="shared" si="15"/>
        <v/>
      </c>
      <c r="Y159" s="123" t="str">
        <f t="shared" si="13"/>
        <v>Y</v>
      </c>
      <c r="Z159" s="121"/>
    </row>
    <row r="160" spans="1:31" x14ac:dyDescent="0.35">
      <c r="B160" s="21" t="s">
        <v>167</v>
      </c>
      <c r="C160" s="4" t="s">
        <v>168</v>
      </c>
      <c r="D160" s="17">
        <v>3000</v>
      </c>
      <c r="E160" s="15">
        <v>3600</v>
      </c>
      <c r="F160" s="12">
        <v>2700</v>
      </c>
      <c r="G160" s="20">
        <f t="shared" si="14"/>
        <v>3600</v>
      </c>
      <c r="H160" s="15">
        <v>330</v>
      </c>
      <c r="I160" s="19" t="s">
        <v>42</v>
      </c>
      <c r="J160" s="12">
        <v>2970</v>
      </c>
      <c r="K160" s="12"/>
      <c r="L160" s="20">
        <f>IF(I160="",0,IF(K160&gt;0,0,IF(I160="A",H160,IF(I160="M",H160*12,IF(I160="W",H160*(Lookups!$B$9+1),IF(I160="B",H160*(+Lookups!$B$10),IF(I160="S",H160*2,IF(AND(H160=0,K160&gt;0),K160,"ERROR"))))))))</f>
        <v>3960</v>
      </c>
      <c r="M160" s="15">
        <v>400</v>
      </c>
      <c r="N160" s="19" t="s">
        <v>42</v>
      </c>
      <c r="O160" s="12">
        <v>3200</v>
      </c>
      <c r="P160" s="12"/>
      <c r="Q160" s="20">
        <f>IF(N160="",0,IF(P160&gt;0,0,IF(N160="A",M160,IF(N160="M",M160*12,IF(N160="W",M160*(Lookups!$B$9),IF(N160="B",M160*(+Lookups!$B$10),IF(N160="S",M160*2,IF(AND(M160=0,P160&gt;0),P160,"ERROR"))))))))</f>
        <v>4800</v>
      </c>
      <c r="R160" s="15">
        <v>400</v>
      </c>
      <c r="S160" s="19" t="s">
        <v>42</v>
      </c>
      <c r="T160" s="12"/>
      <c r="U160" s="20">
        <f>IF(R160="",0,IF(T160&gt;0,0,IF(S160="A",R160,IF(S160="M",R160*12,IF(S160="W",R160*Lookups!B$9,IF(S160="B",R160*+Lookups!B$10,IF(S160="S",R160*2,IF(AND(R160=0,T160&gt;0),T160,"ERROR"))))))))</f>
        <v>4800</v>
      </c>
      <c r="V160" s="130">
        <f>IF(OR(AND(Q160=0,H160=0),P160&gt;0),"",IF(AND(I160="W",N160="W"),ROUND(Q160-(H160*Lookups!$B$9),0),ROUND(+Q160-L160,0)))</f>
        <v>840</v>
      </c>
      <c r="W160" s="75" t="str">
        <f t="shared" si="12"/>
        <v>I</v>
      </c>
      <c r="X160" s="123" t="str">
        <f t="shared" si="15"/>
        <v>N</v>
      </c>
      <c r="Y160" s="123" t="str">
        <f t="shared" si="13"/>
        <v/>
      </c>
      <c r="Z160" s="121"/>
      <c r="AA160" s="52" t="s">
        <v>477</v>
      </c>
      <c r="AB160" s="53" t="s">
        <v>478</v>
      </c>
      <c r="AC160" s="53" t="s">
        <v>418</v>
      </c>
      <c r="AD160" s="54" t="s">
        <v>395</v>
      </c>
      <c r="AE160" s="55">
        <v>53402</v>
      </c>
    </row>
    <row r="161" spans="1:31" x14ac:dyDescent="0.35">
      <c r="A161" s="139" t="s">
        <v>638</v>
      </c>
      <c r="B161" s="108" t="s">
        <v>307</v>
      </c>
      <c r="C161" s="109" t="s">
        <v>235</v>
      </c>
      <c r="D161" s="127">
        <v>1275</v>
      </c>
      <c r="E161" s="111"/>
      <c r="F161" s="110"/>
      <c r="G161" s="112">
        <f t="shared" si="14"/>
        <v>0</v>
      </c>
      <c r="H161" s="111"/>
      <c r="I161" s="113"/>
      <c r="J161" s="110"/>
      <c r="K161" s="110"/>
      <c r="L161" s="112">
        <f>IF(I161="",0,IF(K161&gt;0,0,IF(I161="A",H161,IF(I161="M",H161*12,IF(I161="W",H161*(Lookups!$B$9+1),IF(I161="B",H161*(+Lookups!$B$10),IF(I161="S",H161*2,IF(AND(H161=0,K161&gt;0),K161,"ERROR"))))))))</f>
        <v>0</v>
      </c>
      <c r="M161" s="111"/>
      <c r="N161" s="113"/>
      <c r="O161" s="110">
        <v>0</v>
      </c>
      <c r="P161" s="110"/>
      <c r="Q161" s="112">
        <f>IF(N161="",0,IF(P161&gt;0,0,IF(N161="A",M161,IF(N161="M",M161*12,IF(N161="W",M161*(Lookups!$B$9),IF(N161="B",M161*(+Lookups!$B$10),IF(N161="S",M161*2,IF(AND(M161=0,P161&gt;0),P161,"ERROR"))))))))</f>
        <v>0</v>
      </c>
      <c r="R161" s="111"/>
      <c r="S161" s="113"/>
      <c r="T161" s="110"/>
      <c r="U161" s="112">
        <f>IF(R161="",0,IF(T161&gt;0,0,IF(S161="A",R161,IF(S161="M",R161*12,IF(S161="W",R161*Lookups!B$9,IF(S161="B",R161*+Lookups!B$10,IF(S161="S",R161*2,IF(AND(R161=0,T161&gt;0),T161,"ERROR"))))))))</f>
        <v>0</v>
      </c>
      <c r="V161" s="85" t="str">
        <f>IF(OR(AND(Q161=0,H161=0),P161&gt;0),"",IF(AND(I161="W",N161="W"),ROUND(Q161-(H161*Lookups!$B$9),0),ROUND(+Q161-L161,0)))</f>
        <v/>
      </c>
      <c r="W161" s="86" t="str">
        <f t="shared" si="12"/>
        <v/>
      </c>
      <c r="X161" s="123" t="str">
        <f t="shared" si="15"/>
        <v/>
      </c>
      <c r="Y161" s="123" t="str">
        <f t="shared" si="13"/>
        <v/>
      </c>
      <c r="Z161" s="122"/>
      <c r="AA161" s="114" t="s">
        <v>504</v>
      </c>
      <c r="AB161" s="114"/>
      <c r="AC161" s="114"/>
      <c r="AD161" s="115"/>
      <c r="AE161" s="116"/>
    </row>
    <row r="162" spans="1:31" x14ac:dyDescent="0.35">
      <c r="B162" s="21" t="s">
        <v>169</v>
      </c>
      <c r="C162" s="4" t="s">
        <v>129</v>
      </c>
      <c r="D162" s="17">
        <v>815</v>
      </c>
      <c r="E162" s="15">
        <v>960</v>
      </c>
      <c r="F162" s="12">
        <v>560</v>
      </c>
      <c r="G162" s="20">
        <f t="shared" si="14"/>
        <v>560</v>
      </c>
      <c r="H162" s="15"/>
      <c r="I162" s="19" t="s">
        <v>42</v>
      </c>
      <c r="J162" s="12"/>
      <c r="K162" s="12">
        <v>800</v>
      </c>
      <c r="L162" s="20">
        <f>IF(I162="",0,IF(K162&gt;0,0,IF(I162="A",H162,IF(I162="M",H162*12,IF(I162="W",H162*(Lookups!$B$9+1),IF(I162="B",H162*(+Lookups!$B$10),IF(I162="S",H162*2,IF(AND(H162=0,K162&gt;0),K162,"ERROR"))))))))</f>
        <v>0</v>
      </c>
      <c r="M162" s="15">
        <v>50</v>
      </c>
      <c r="N162" s="19" t="s">
        <v>41</v>
      </c>
      <c r="O162" s="12">
        <v>1650</v>
      </c>
      <c r="P162" s="12"/>
      <c r="Q162" s="20">
        <f>IF(N162="",0,IF(P162&gt;0,0,IF(N162="A",M162,IF(N162="M",M162*12,IF(N162="W",M162*(Lookups!$B$9),IF(N162="B",M162*(+Lookups!$B$10),IF(N162="S",M162*2,IF(AND(M162=0,P162&gt;0),P162,"ERROR"))))))))</f>
        <v>2600</v>
      </c>
      <c r="R162" s="15">
        <v>50</v>
      </c>
      <c r="S162" s="19" t="s">
        <v>41</v>
      </c>
      <c r="T162" s="12"/>
      <c r="U162" s="20">
        <f>IF(R162="",0,IF(T162&gt;0,0,IF(S162="A",R162,IF(S162="M",R162*12,IF(S162="W",R162*Lookups!B$9,IF(S162="B",R162*+Lookups!B$10,IF(S162="S",R162*2,IF(AND(R162=0,T162&gt;0),T162,"ERROR"))))))))</f>
        <v>2600</v>
      </c>
      <c r="V162" s="130">
        <f>IF(OR(AND(Q162=0,H162=0),P162&gt;0),"",IF(AND(I162="W",N162="W"),ROUND(Q162-(H162*Lookups!$B$9),0),ROUND(+Q162-L162,0)))</f>
        <v>2600</v>
      </c>
      <c r="W162" s="75" t="str">
        <f t="shared" si="12"/>
        <v>N</v>
      </c>
      <c r="X162" s="123" t="str">
        <f t="shared" si="15"/>
        <v>N</v>
      </c>
      <c r="Y162" s="123" t="str">
        <f t="shared" si="13"/>
        <v/>
      </c>
      <c r="Z162" s="121"/>
      <c r="AA162" s="52" t="s">
        <v>581</v>
      </c>
      <c r="AB162" s="53" t="s">
        <v>582</v>
      </c>
      <c r="AC162" s="53" t="s">
        <v>526</v>
      </c>
      <c r="AD162" s="54" t="s">
        <v>395</v>
      </c>
      <c r="AE162" s="55">
        <v>53144</v>
      </c>
    </row>
    <row r="163" spans="1:31" x14ac:dyDescent="0.35">
      <c r="B163" s="21" t="s">
        <v>308</v>
      </c>
      <c r="C163" s="4" t="s">
        <v>309</v>
      </c>
      <c r="D163" s="17">
        <v>600</v>
      </c>
      <c r="E163" s="15"/>
      <c r="F163" s="12">
        <v>400</v>
      </c>
      <c r="G163" s="20">
        <f t="shared" si="14"/>
        <v>400</v>
      </c>
      <c r="H163" s="15"/>
      <c r="I163" s="19"/>
      <c r="J163" s="12">
        <v>1000</v>
      </c>
      <c r="K163" s="12">
        <v>500</v>
      </c>
      <c r="L163" s="20">
        <f>IF(I163="",0,IF(K163&gt;0,0,IF(I163="A",H163,IF(I163="M",H163*12,IF(I163="W",H163*(Lookups!$B$9+1),IF(I163="B",H163*(+Lookups!$B$10),IF(I163="S",H163*2,IF(AND(H163=0,K163&gt;0),K163,"ERROR"))))))))</f>
        <v>0</v>
      </c>
      <c r="M163" s="15">
        <v>1000</v>
      </c>
      <c r="N163" s="19" t="s">
        <v>38</v>
      </c>
      <c r="O163" s="12">
        <v>2000</v>
      </c>
      <c r="P163" s="12">
        <v>2500</v>
      </c>
      <c r="Q163" s="20">
        <f>IF(N163="",0,IF(P163&gt;0,0,IF(N163="A",M163,IF(N163="M",M163*12,IF(N163="W",M163*(Lookups!$B$9),IF(N163="B",M163*(+Lookups!$B$10),IF(N163="S",M163*2,IF(AND(M163=0,P163&gt;0),P163,"ERROR"))))))))</f>
        <v>0</v>
      </c>
      <c r="R163" s="15">
        <v>1000</v>
      </c>
      <c r="S163" s="19" t="s">
        <v>38</v>
      </c>
      <c r="T163" s="12"/>
      <c r="U163" s="20">
        <f>IF(R163="",0,IF(T163&gt;0,0,IF(S163="A",R163,IF(S163="M",R163*12,IF(S163="W",R163*Lookups!B$9,IF(S163="B",R163*+Lookups!B$10,IF(S163="S",R163*2,IF(AND(R163=0,T163&gt;0),T163,"ERROR"))))))))</f>
        <v>1000</v>
      </c>
      <c r="V163" s="130" t="str">
        <f>IF(OR(AND(Q163=0,H163=0),P163&gt;0),"",IF(AND(I163="W",N163="W"),ROUND(Q163-(H163*Lookups!$B$9),0),ROUND(+Q163-L163,0)))</f>
        <v/>
      </c>
      <c r="W163" s="75" t="str">
        <f t="shared" si="12"/>
        <v>E</v>
      </c>
      <c r="X163" s="123" t="str">
        <f t="shared" si="15"/>
        <v/>
      </c>
      <c r="Y163" s="123" t="str">
        <f t="shared" si="13"/>
        <v>Y</v>
      </c>
      <c r="Z163" s="121" t="s">
        <v>583</v>
      </c>
      <c r="AA163" s="52" t="s">
        <v>584</v>
      </c>
      <c r="AB163" s="53" t="s">
        <v>585</v>
      </c>
      <c r="AC163" s="53" t="s">
        <v>559</v>
      </c>
      <c r="AD163" s="54" t="s">
        <v>395</v>
      </c>
      <c r="AE163" s="55">
        <v>53406</v>
      </c>
    </row>
    <row r="164" spans="1:31" x14ac:dyDescent="0.35">
      <c r="A164" s="139" t="s">
        <v>638</v>
      </c>
      <c r="B164" s="108" t="s">
        <v>170</v>
      </c>
      <c r="C164" s="109" t="s">
        <v>310</v>
      </c>
      <c r="D164" s="127">
        <v>12000</v>
      </c>
      <c r="E164" s="111"/>
      <c r="F164" s="110">
        <v>1000</v>
      </c>
      <c r="G164" s="112">
        <f t="shared" si="14"/>
        <v>1000</v>
      </c>
      <c r="H164" s="111"/>
      <c r="I164" s="113"/>
      <c r="J164" s="110"/>
      <c r="K164" s="110"/>
      <c r="L164" s="112">
        <f>IF(I164="",0,IF(K164&gt;0,0,IF(I164="A",H164,IF(I164="M",H164*12,IF(I164="W",H164*(Lookups!$B$9+1),IF(I164="B",H164*(+Lookups!$B$10),IF(I164="S",H164*2,IF(AND(H164=0,K164&gt;0),K164,"ERROR"))))))))</f>
        <v>0</v>
      </c>
      <c r="M164" s="111"/>
      <c r="N164" s="113"/>
      <c r="O164" s="110">
        <v>0</v>
      </c>
      <c r="P164" s="110"/>
      <c r="Q164" s="112">
        <f>IF(N164="",0,IF(P164&gt;0,0,IF(N164="A",M164,IF(N164="M",M164*12,IF(N164="W",M164*(Lookups!$B$9),IF(N164="B",M164*(+Lookups!$B$10),IF(N164="S",M164*2,IF(AND(M164=0,P164&gt;0),P164,"ERROR"))))))))</f>
        <v>0</v>
      </c>
      <c r="R164" s="111"/>
      <c r="S164" s="113"/>
      <c r="T164" s="110"/>
      <c r="U164" s="112">
        <f>IF(R164="",0,IF(T164&gt;0,0,IF(S164="A",R164,IF(S164="M",R164*12,IF(S164="W",R164*Lookups!B$9,IF(S164="B",R164*+Lookups!B$10,IF(S164="S",R164*2,IF(AND(R164=0,T164&gt;0),T164,"ERROR"))))))))</f>
        <v>0</v>
      </c>
      <c r="V164" s="85" t="str">
        <f>IF(OR(AND(Q164=0,H164=0),P164&gt;0),"",IF(AND(I164="W",N164="W"),ROUND(Q164-(H164*Lookups!$B$9),0),ROUND(+Q164-L164,0)))</f>
        <v/>
      </c>
      <c r="W164" s="86" t="str">
        <f t="shared" si="12"/>
        <v/>
      </c>
      <c r="X164" s="123" t="str">
        <f t="shared" si="15"/>
        <v/>
      </c>
      <c r="Y164" s="123" t="str">
        <f t="shared" si="13"/>
        <v/>
      </c>
      <c r="Z164" s="122"/>
      <c r="AA164" s="114" t="s">
        <v>505</v>
      </c>
      <c r="AB164" s="114"/>
      <c r="AC164" s="114"/>
      <c r="AD164" s="115"/>
      <c r="AE164" s="116"/>
    </row>
    <row r="165" spans="1:31" x14ac:dyDescent="0.35">
      <c r="B165" s="134" t="s">
        <v>170</v>
      </c>
      <c r="C165" s="70" t="s">
        <v>171</v>
      </c>
      <c r="D165" s="17">
        <v>1090</v>
      </c>
      <c r="E165" s="15">
        <v>1040</v>
      </c>
      <c r="F165" s="12">
        <v>760</v>
      </c>
      <c r="G165" s="20">
        <f t="shared" si="14"/>
        <v>1040</v>
      </c>
      <c r="H165" s="15">
        <v>20</v>
      </c>
      <c r="I165" s="19" t="s">
        <v>41</v>
      </c>
      <c r="J165" s="12">
        <v>760</v>
      </c>
      <c r="K165" s="12"/>
      <c r="L165" s="20">
        <f>IF(I165="",0,IF(K165&gt;0,0,IF(I165="A",H165,IF(I165="M",H165*12,IF(I165="W",H165*(Lookups!$B$9+1),IF(I165="B",H165*(+Lookups!$B$10),IF(I165="S",H165*2,IF(AND(H165=0,K165&gt;0),K165,"ERROR"))))))))</f>
        <v>1060</v>
      </c>
      <c r="M165" s="15">
        <v>15</v>
      </c>
      <c r="N165" s="19" t="s">
        <v>41</v>
      </c>
      <c r="O165" s="12">
        <v>510</v>
      </c>
      <c r="P165" s="12"/>
      <c r="Q165" s="20">
        <f>IF(N165="",0,IF(P165&gt;0,0,IF(N165="A",M165,IF(N165="M",M165*12,IF(N165="W",M165*(Lookups!$B$9),IF(N165="B",M165*(+Lookups!$B$10),IF(N165="S",M165*2,IF(AND(M165=0,P165&gt;0),P165,"ERROR"))))))))</f>
        <v>780</v>
      </c>
      <c r="R165" s="15">
        <v>15</v>
      </c>
      <c r="S165" s="19" t="s">
        <v>41</v>
      </c>
      <c r="T165" s="12">
        <v>1000</v>
      </c>
      <c r="U165" s="20">
        <f>IF(R165="",0,IF(T165&gt;0,0,IF(S165="A",R165,IF(S165="M",R165*12,IF(S165="W",R165*Lookups!B$9,IF(S165="B",R165*+Lookups!B$10,IF(S165="S",R165*2,IF(AND(R165=0,T165&gt;0),T165,"ERROR"))))))))</f>
        <v>0</v>
      </c>
      <c r="V165" s="130">
        <f>IF(OR(AND(Q165=0,H165=0),P165&gt;0),"",IF(AND(I165="W",N165="W"),ROUND(Q165-(H165*Lookups!$B$9),0),ROUND(+Q165-L165,0)))</f>
        <v>-260</v>
      </c>
      <c r="W165" s="75" t="str">
        <f t="shared" si="12"/>
        <v>D</v>
      </c>
      <c r="X165" s="123" t="str">
        <f t="shared" si="15"/>
        <v>N</v>
      </c>
      <c r="Y165" s="123" t="str">
        <f t="shared" si="13"/>
        <v/>
      </c>
      <c r="Z165" s="121"/>
      <c r="AA165" s="52" t="s">
        <v>590</v>
      </c>
      <c r="AB165" s="53" t="s">
        <v>591</v>
      </c>
      <c r="AC165" s="53" t="s">
        <v>418</v>
      </c>
      <c r="AD165" s="54" t="s">
        <v>592</v>
      </c>
      <c r="AE165" s="55">
        <v>53406</v>
      </c>
    </row>
    <row r="166" spans="1:31" x14ac:dyDescent="0.35">
      <c r="B166" s="21" t="s">
        <v>170</v>
      </c>
      <c r="C166" s="4" t="s">
        <v>311</v>
      </c>
      <c r="D166" s="17">
        <v>1000</v>
      </c>
      <c r="E166" s="15"/>
      <c r="F166" s="12"/>
      <c r="G166" s="20">
        <f t="shared" si="14"/>
        <v>0</v>
      </c>
      <c r="H166" s="15">
        <v>1200</v>
      </c>
      <c r="I166" s="19" t="s">
        <v>38</v>
      </c>
      <c r="J166" s="12"/>
      <c r="K166" s="12"/>
      <c r="L166" s="20">
        <f>IF(I166="",0,IF(K166&gt;0,0,IF(I166="A",H166,IF(I166="M",H166*12,IF(I166="W",H166*(Lookups!$B$9+1),IF(I166="B",H166*(+Lookups!$B$10),IF(I166="S",H166*2,IF(AND(H166=0,K166&gt;0),K166,"ERROR"))))))))</f>
        <v>1200</v>
      </c>
      <c r="M166" s="15">
        <v>1200</v>
      </c>
      <c r="N166" s="19" t="s">
        <v>38</v>
      </c>
      <c r="O166" s="12">
        <v>0</v>
      </c>
      <c r="P166" s="12"/>
      <c r="Q166" s="20">
        <f>IF(N166="",0,IF(P166&gt;0,0,IF(N166="A",M166,IF(N166="M",M166*12,IF(N166="W",M166*(Lookups!$B$9),IF(N166="B",M166*(+Lookups!$B$10),IF(N166="S",M166*2,IF(AND(M166=0,P166&gt;0),P166,"ERROR"))))))))</f>
        <v>1200</v>
      </c>
      <c r="R166" s="15">
        <v>1200</v>
      </c>
      <c r="S166" s="19" t="s">
        <v>38</v>
      </c>
      <c r="T166" s="12"/>
      <c r="U166" s="20">
        <f>IF(R166="",0,IF(T166&gt;0,0,IF(S166="A",R166,IF(S166="M",R166*12,IF(S166="W",R166*Lookups!B$9,IF(S166="B",R166*+Lookups!B$10,IF(S166="S",R166*2,IF(AND(R166=0,T166&gt;0),T166,"ERROR"))))))))</f>
        <v>1200</v>
      </c>
      <c r="V166" s="130">
        <f>IF(OR(AND(Q166=0,H166=0),P166&gt;0),"",IF(AND(I166="W",N166="W"),ROUND(Q166-(H166*Lookups!$B$9),0),ROUND(+Q166-L166,0)))</f>
        <v>0</v>
      </c>
      <c r="W166" s="75" t="str">
        <f t="shared" si="12"/>
        <v>S</v>
      </c>
      <c r="X166" s="123" t="str">
        <f t="shared" si="15"/>
        <v>N</v>
      </c>
      <c r="Y166" s="123" t="str">
        <f t="shared" si="13"/>
        <v/>
      </c>
      <c r="Z166" s="121"/>
      <c r="AA166" s="52" t="s">
        <v>587</v>
      </c>
      <c r="AB166" s="53" t="s">
        <v>588</v>
      </c>
      <c r="AC166" s="53" t="s">
        <v>589</v>
      </c>
      <c r="AD166" s="54" t="s">
        <v>395</v>
      </c>
      <c r="AE166" s="55">
        <v>53185</v>
      </c>
    </row>
    <row r="167" spans="1:31" x14ac:dyDescent="0.35">
      <c r="A167" s="139" t="s">
        <v>638</v>
      </c>
      <c r="B167" s="21" t="s">
        <v>170</v>
      </c>
      <c r="C167" s="4" t="s">
        <v>312</v>
      </c>
      <c r="D167" s="17">
        <v>25</v>
      </c>
      <c r="E167" s="15"/>
      <c r="F167" s="12"/>
      <c r="G167" s="20">
        <f t="shared" si="14"/>
        <v>0</v>
      </c>
      <c r="H167" s="15"/>
      <c r="I167" s="19"/>
      <c r="J167" s="12">
        <v>25</v>
      </c>
      <c r="K167" s="12"/>
      <c r="L167" s="20">
        <f>IF(I167="",0,IF(K167&gt;0,0,IF(I167="A",H167,IF(I167="M",H167*12,IF(I167="W",H167*(Lookups!$B$9+1),IF(I167="B",H167*(+Lookups!$B$10),IF(I167="S",H167*2,IF(AND(H167=0,K167&gt;0),K167,"ERROR"))))))))</f>
        <v>0</v>
      </c>
      <c r="M167" s="15"/>
      <c r="N167" s="19"/>
      <c r="O167" s="12">
        <v>0</v>
      </c>
      <c r="P167" s="12"/>
      <c r="Q167" s="20">
        <f>IF(N167="",0,IF(P167&gt;0,0,IF(N167="A",M167,IF(N167="M",M167*12,IF(N167="W",M167*(Lookups!$B$9),IF(N167="B",M167*(+Lookups!$B$10),IF(N167="S",M167*2,IF(AND(M167=0,P167&gt;0),P167,"ERROR"))))))))</f>
        <v>0</v>
      </c>
      <c r="R167" s="15"/>
      <c r="S167" s="19"/>
      <c r="T167" s="12"/>
      <c r="U167" s="20">
        <f>IF(R167="",0,IF(T167&gt;0,0,IF(S167="A",R167,IF(S167="M",R167*12,IF(S167="W",R167*Lookups!B$9,IF(S167="B",R167*+Lookups!B$10,IF(S167="S",R167*2,IF(AND(R167=0,T167&gt;0),T167,"ERROR"))))))))</f>
        <v>0</v>
      </c>
      <c r="V167" s="130" t="str">
        <f>IF(OR(AND(Q167=0,H167=0),P167&gt;0),"",IF(AND(I167="W",N167="W"),ROUND(Q167-(H167*Lookups!$B$9),0),ROUND(+Q167-L167,0)))</f>
        <v/>
      </c>
      <c r="W167" s="75" t="str">
        <f t="shared" si="12"/>
        <v/>
      </c>
      <c r="X167" s="123" t="str">
        <f t="shared" si="15"/>
        <v/>
      </c>
      <c r="Y167" s="123" t="str">
        <f t="shared" si="13"/>
        <v/>
      </c>
      <c r="Z167" s="121"/>
    </row>
    <row r="168" spans="1:31" x14ac:dyDescent="0.35">
      <c r="A168" s="139" t="s">
        <v>638</v>
      </c>
      <c r="B168" s="21" t="s">
        <v>170</v>
      </c>
      <c r="C168" s="4" t="s">
        <v>313</v>
      </c>
      <c r="D168" s="17">
        <v>400</v>
      </c>
      <c r="E168" s="15"/>
      <c r="F168" s="12">
        <v>100</v>
      </c>
      <c r="G168" s="20">
        <f t="shared" si="14"/>
        <v>100</v>
      </c>
      <c r="H168" s="15"/>
      <c r="I168" s="19"/>
      <c r="J168" s="12"/>
      <c r="K168" s="12"/>
      <c r="L168" s="20">
        <f>IF(I168="",0,IF(K168&gt;0,0,IF(I168="A",H168,IF(I168="M",H168*12,IF(I168="W",H168*(Lookups!$B$9+1),IF(I168="B",H168*(+Lookups!$B$10),IF(I168="S",H168*2,IF(AND(H168=0,K168&gt;0),K168,"ERROR"))))))))</f>
        <v>0</v>
      </c>
      <c r="M168" s="15"/>
      <c r="N168" s="19"/>
      <c r="O168" s="12">
        <v>0</v>
      </c>
      <c r="P168" s="12"/>
      <c r="Q168" s="20">
        <f>IF(N168="",0,IF(P168&gt;0,0,IF(N168="A",M168,IF(N168="M",M168*12,IF(N168="W",M168*(Lookups!$B$9),IF(N168="B",M168*(+Lookups!$B$10),IF(N168="S",M168*2,IF(AND(M168=0,P168&gt;0),P168,"ERROR"))))))))</f>
        <v>0</v>
      </c>
      <c r="R168" s="15"/>
      <c r="S168" s="19"/>
      <c r="T168" s="12"/>
      <c r="U168" s="20">
        <f>IF(R168="",0,IF(T168&gt;0,0,IF(S168="A",R168,IF(S168="M",R168*12,IF(S168="W",R168*Lookups!B$9,IF(S168="B",R168*+Lookups!B$10,IF(S168="S",R168*2,IF(AND(R168=0,T168&gt;0),T168,"ERROR"))))))))</f>
        <v>0</v>
      </c>
      <c r="V168" s="130" t="str">
        <f>IF(OR(AND(Q168=0,H168=0),P168&gt;0),"",IF(AND(I168="W",N168="W"),ROUND(Q168-(H168*Lookups!$B$9),0),ROUND(+Q168-L168,0)))</f>
        <v/>
      </c>
      <c r="W168" s="75" t="str">
        <f t="shared" si="12"/>
        <v/>
      </c>
      <c r="X168" s="123" t="str">
        <f t="shared" si="15"/>
        <v/>
      </c>
      <c r="Y168" s="123" t="str">
        <f t="shared" si="13"/>
        <v/>
      </c>
      <c r="Z168" s="121"/>
    </row>
    <row r="169" spans="1:31" x14ac:dyDescent="0.35">
      <c r="B169" s="21" t="s">
        <v>172</v>
      </c>
      <c r="C169" s="4" t="s">
        <v>14</v>
      </c>
      <c r="D169" s="17">
        <v>1747</v>
      </c>
      <c r="E169" s="15">
        <v>1320</v>
      </c>
      <c r="F169" s="12">
        <v>660</v>
      </c>
      <c r="G169" s="20">
        <f t="shared" ref="G169:G205" si="16">IF(E169=0,F169,IF(AND(F169=0,J169="A"),E169,IF(F169&gt;E169,F169, IF(F169/E169&gt;0.73,E169,F169))))</f>
        <v>660</v>
      </c>
      <c r="H169" s="15">
        <v>110</v>
      </c>
      <c r="I169" s="19" t="s">
        <v>42</v>
      </c>
      <c r="J169" s="12">
        <v>880</v>
      </c>
      <c r="K169" s="12"/>
      <c r="L169" s="20">
        <f>IF(I169="",0,IF(K169&gt;0,0,IF(I169="A",H169,IF(I169="M",H169*12,IF(I169="W",H169*(Lookups!$B$9+1),IF(I169="B",H169*(+Lookups!$B$10),IF(I169="S",H169*2,IF(AND(H169=0,K169&gt;0),K169,"ERROR"))))))))</f>
        <v>1320</v>
      </c>
      <c r="M169" s="15">
        <v>170</v>
      </c>
      <c r="N169" s="19" t="s">
        <v>42</v>
      </c>
      <c r="O169" s="12">
        <v>1360</v>
      </c>
      <c r="P169" s="12"/>
      <c r="Q169" s="20">
        <f>IF(N169="",0,IF(P169&gt;0,0,IF(N169="A",M169,IF(N169="M",M169*12,IF(N169="W",M169*(Lookups!$B$9),IF(N169="B",M169*(+Lookups!$B$10),IF(N169="S",M169*2,IF(AND(M169=0,P169&gt;0),P169,"ERROR"))))))))</f>
        <v>2040</v>
      </c>
      <c r="R169" s="15">
        <v>170</v>
      </c>
      <c r="S169" s="19" t="s">
        <v>42</v>
      </c>
      <c r="T169" s="12"/>
      <c r="U169" s="20">
        <f>IF(R169="",0,IF(T169&gt;0,0,IF(S169="A",R169,IF(S169="M",R169*12,IF(S169="W",R169*Lookups!B$9,IF(S169="B",R169*+Lookups!B$10,IF(S169="S",R169*2,IF(AND(R169=0,T169&gt;0),T169,"ERROR"))))))))</f>
        <v>2040</v>
      </c>
      <c r="V169" s="130">
        <f>IF(OR(AND(Q169=0,H169=0),P169&gt;0),"",IF(AND(I169="W",N169="W"),ROUND(Q169-(H169*Lookups!$B$9),0),ROUND(+Q169-L169,0)))</f>
        <v>720</v>
      </c>
      <c r="W169" s="75" t="str">
        <f t="shared" si="12"/>
        <v>I</v>
      </c>
      <c r="X169" s="123" t="str">
        <f t="shared" si="15"/>
        <v>N</v>
      </c>
      <c r="Y169" s="123" t="str">
        <f t="shared" si="13"/>
        <v/>
      </c>
      <c r="Z169" s="121"/>
      <c r="AA169" s="52" t="s">
        <v>593</v>
      </c>
      <c r="AB169" s="53" t="s">
        <v>594</v>
      </c>
      <c r="AC169" s="53" t="s">
        <v>559</v>
      </c>
      <c r="AD169" s="54" t="s">
        <v>395</v>
      </c>
      <c r="AE169" s="55">
        <v>53406</v>
      </c>
    </row>
    <row r="170" spans="1:31" x14ac:dyDescent="0.35">
      <c r="B170" s="21" t="s">
        <v>172</v>
      </c>
      <c r="C170" s="4" t="s">
        <v>376</v>
      </c>
      <c r="D170" s="17"/>
      <c r="E170" s="15"/>
      <c r="F170" s="12">
        <v>25</v>
      </c>
      <c r="G170" s="20">
        <f t="shared" si="16"/>
        <v>25</v>
      </c>
      <c r="H170" s="15"/>
      <c r="I170" s="19"/>
      <c r="J170" s="12">
        <v>50</v>
      </c>
      <c r="K170" s="12"/>
      <c r="L170" s="20">
        <f>IF(I170="",0,IF(K170&gt;0,0,IF(I170="A",H170,IF(I170="M",H170*12,IF(I170="W",H170*(Lookups!$B$9+1),IF(I170="B",H170*(+Lookups!$B$10),IF(I170="S",H170*2,IF(AND(H170=0,K170&gt;0),K170,"ERROR"))))))))</f>
        <v>0</v>
      </c>
      <c r="M170" s="15"/>
      <c r="N170" s="19"/>
      <c r="O170" s="12">
        <v>240</v>
      </c>
      <c r="P170" s="12">
        <v>240</v>
      </c>
      <c r="Q170" s="20">
        <f>IF(N170="",0,IF(P170&gt;0,0,IF(N170="A",M170,IF(N170="M",M170*12,IF(N170="W",M170*(Lookups!$B$9),IF(N170="B",M170*(+Lookups!$B$10),IF(N170="S",M170*2,IF(AND(M170=0,P170&gt;0),P170,"ERROR"))))))))</f>
        <v>0</v>
      </c>
      <c r="R170" s="15"/>
      <c r="S170" s="19"/>
      <c r="T170" s="12"/>
      <c r="U170" s="20">
        <f>IF(R170="",0,IF(T170&gt;0,0,IF(S170="A",R170,IF(S170="M",R170*12,IF(S170="W",R170*Lookups!B$9,IF(S170="B",R170*+Lookups!B$10,IF(S170="S",R170*2,IF(AND(R170=0,T170&gt;0),T170,"ERROR"))))))))</f>
        <v>0</v>
      </c>
      <c r="V170" s="130" t="str">
        <f>IF(OR(AND(Q170=0,H170=0),P170&gt;0),"",IF(AND(I170="W",N170="W"),ROUND(Q170-(H170*Lookups!$B$9),0),ROUND(+Q170-L170,0)))</f>
        <v/>
      </c>
      <c r="W170" s="75" t="str">
        <f t="shared" si="12"/>
        <v>E</v>
      </c>
      <c r="X170" s="123" t="str">
        <f t="shared" si="15"/>
        <v/>
      </c>
      <c r="Y170" s="123" t="str">
        <f t="shared" si="13"/>
        <v>Y</v>
      </c>
      <c r="Z170" s="121"/>
    </row>
    <row r="171" spans="1:31" ht="29" x14ac:dyDescent="0.35">
      <c r="B171" s="21" t="s">
        <v>173</v>
      </c>
      <c r="C171" s="4" t="s">
        <v>174</v>
      </c>
      <c r="D171" s="17">
        <v>100000</v>
      </c>
      <c r="E171" s="15">
        <v>100000</v>
      </c>
      <c r="F171" s="12">
        <v>110000</v>
      </c>
      <c r="G171" s="20">
        <f t="shared" si="16"/>
        <v>110000</v>
      </c>
      <c r="H171" s="15">
        <v>80000</v>
      </c>
      <c r="I171" s="19" t="s">
        <v>38</v>
      </c>
      <c r="J171" s="12">
        <v>80000</v>
      </c>
      <c r="K171" s="12"/>
      <c r="L171" s="20">
        <f>IF(I171="",0,IF(K171&gt;0,0,IF(I171="A",H171,IF(I171="M",H171*12,IF(I171="W",H171*(Lookups!$B$9+1),IF(I171="B",H171*(+Lookups!$B$10),IF(I171="S",H171*2,IF(AND(H171=0,K171&gt;0),K171,"ERROR"))))))))</f>
        <v>80000</v>
      </c>
      <c r="M171" s="15">
        <v>80000</v>
      </c>
      <c r="N171" s="19" t="s">
        <v>38</v>
      </c>
      <c r="O171" s="12">
        <v>85000</v>
      </c>
      <c r="P171" s="12">
        <v>85000</v>
      </c>
      <c r="Q171" s="20">
        <f>IF(N171="",0,IF(P171&gt;0,0,IF(N171="A",M171,IF(N171="M",M171*12,IF(N171="W",M171*(Lookups!$B$9),IF(N171="B",M171*(+Lookups!$B$10),IF(N171="S",M171*2,IF(AND(M171=0,P171&gt;0),P171,"ERROR"))))))))</f>
        <v>0</v>
      </c>
      <c r="R171" s="15">
        <v>80000</v>
      </c>
      <c r="S171" s="19" t="s">
        <v>38</v>
      </c>
      <c r="T171" s="12"/>
      <c r="U171" s="20">
        <f>IF(R171="",0,IF(T171&gt;0,0,IF(S171="A",R171,IF(S171="M",R171*12,IF(S171="W",R171*Lookups!B$9,IF(S171="B",R171*+Lookups!B$10,IF(S171="S",R171*2,IF(AND(R171=0,T171&gt;0),T171,"ERROR"))))))))</f>
        <v>80000</v>
      </c>
      <c r="V171" s="130" t="str">
        <f>IF(OR(AND(Q171=0,H171=0),P171&gt;0),"",IF(AND(I171="W",N171="W"),ROUND(Q171-(H171*Lookups!$B$9),0),ROUND(+Q171-L171,0)))</f>
        <v/>
      </c>
      <c r="W171" s="75" t="str">
        <f t="shared" si="12"/>
        <v>E</v>
      </c>
      <c r="X171" s="123" t="str">
        <f t="shared" si="15"/>
        <v/>
      </c>
      <c r="Y171" s="123" t="str">
        <f t="shared" si="13"/>
        <v>Y</v>
      </c>
      <c r="Z171" s="126" t="s">
        <v>595</v>
      </c>
    </row>
    <row r="172" spans="1:31" x14ac:dyDescent="0.35">
      <c r="B172" s="21" t="s">
        <v>175</v>
      </c>
      <c r="C172" s="4" t="s">
        <v>176</v>
      </c>
      <c r="D172" s="17">
        <v>1640</v>
      </c>
      <c r="E172" s="15">
        <v>1820</v>
      </c>
      <c r="F172" s="12">
        <v>900</v>
      </c>
      <c r="G172" s="20">
        <f t="shared" si="16"/>
        <v>900</v>
      </c>
      <c r="H172" s="15">
        <v>35</v>
      </c>
      <c r="I172" s="19" t="s">
        <v>41</v>
      </c>
      <c r="J172" s="12"/>
      <c r="K172" s="12"/>
      <c r="L172" s="20">
        <f>IF(I172="",0,IF(K172&gt;0,0,IF(I172="A",H172,IF(I172="M",H172*12,IF(I172="W",H172*(Lookups!$B$9+1),IF(I172="B",H172*(+Lookups!$B$10),IF(I172="S",H172*2,IF(AND(H172=0,K172&gt;0),K172,"ERROR"))))))))</f>
        <v>1855</v>
      </c>
      <c r="M172" s="15"/>
      <c r="N172" s="19"/>
      <c r="O172" s="12">
        <v>750</v>
      </c>
      <c r="P172" s="12">
        <v>900</v>
      </c>
      <c r="Q172" s="20">
        <f>IF(N172="",0,IF(P172&gt;0,0,IF(N172="A",M172,IF(N172="M",M172*12,IF(N172="W",M172*(Lookups!$B$9),IF(N172="B",M172*(+Lookups!$B$10),IF(N172="S",M172*2,IF(AND(M172=0,P172&gt;0),P172,"ERROR"))))))))</f>
        <v>0</v>
      </c>
      <c r="R172" s="15"/>
      <c r="S172" s="19"/>
      <c r="T172" s="12"/>
      <c r="U172" s="20">
        <f>IF(R172="",0,IF(T172&gt;0,0,IF(S172="A",R172,IF(S172="M",R172*12,IF(S172="W",R172*Lookups!B$9,IF(S172="B",R172*+Lookups!B$10,IF(S172="S",R172*2,IF(AND(R172=0,T172&gt;0),T172,"ERROR"))))))))</f>
        <v>0</v>
      </c>
      <c r="V172" s="130" t="str">
        <f>IF(OR(AND(Q172=0,H172=0),P172&gt;0),"",IF(AND(I172="W",N172="W"),ROUND(Q172-(H172*Lookups!$B$9),0),ROUND(+Q172-L172,0)))</f>
        <v/>
      </c>
      <c r="W172" s="75" t="str">
        <f t="shared" si="12"/>
        <v>E</v>
      </c>
      <c r="X172" s="123" t="str">
        <f t="shared" si="15"/>
        <v/>
      </c>
      <c r="Y172" s="123" t="str">
        <f t="shared" si="13"/>
        <v>Y</v>
      </c>
      <c r="Z172" s="121"/>
    </row>
    <row r="173" spans="1:31" x14ac:dyDescent="0.35">
      <c r="B173" s="21" t="s">
        <v>314</v>
      </c>
      <c r="C173" s="4" t="s">
        <v>315</v>
      </c>
      <c r="D173" s="17">
        <v>800</v>
      </c>
      <c r="E173" s="15"/>
      <c r="F173" s="12"/>
      <c r="G173" s="20">
        <f t="shared" si="16"/>
        <v>0</v>
      </c>
      <c r="H173" s="15"/>
      <c r="I173" s="19"/>
      <c r="J173" s="12">
        <v>95</v>
      </c>
      <c r="K173" s="12"/>
      <c r="L173" s="20">
        <f>IF(I173="",0,IF(K173&gt;0,0,IF(I173="A",H173,IF(I173="M",H173*12,IF(I173="W",H173*(Lookups!$B$9+1),IF(I173="B",H173*(+Lookups!$B$10),IF(I173="S",H173*2,IF(AND(H173=0,K173&gt;0),K173,"ERROR"))))))))</f>
        <v>0</v>
      </c>
      <c r="M173" s="15"/>
      <c r="N173" s="19"/>
      <c r="O173" s="12">
        <v>90</v>
      </c>
      <c r="P173" s="12">
        <v>90</v>
      </c>
      <c r="Q173" s="20">
        <f>IF(N173="",0,IF(P173&gt;0,0,IF(N173="A",M173,IF(N173="M",M173*12,IF(N173="W",M173*(Lookups!$B$9),IF(N173="B",M173*(+Lookups!$B$10),IF(N173="S",M173*2,IF(AND(M173=0,P173&gt;0),P173,"ERROR"))))))))</f>
        <v>0</v>
      </c>
      <c r="R173" s="15"/>
      <c r="S173" s="19"/>
      <c r="T173" s="12"/>
      <c r="U173" s="20">
        <f>IF(R173="",0,IF(T173&gt;0,0,IF(S173="A",R173,IF(S173="M",R173*12,IF(S173="W",R173*Lookups!B$9,IF(S173="B",R173*+Lookups!B$10,IF(S173="S",R173*2,IF(AND(R173=0,T173&gt;0),T173,"ERROR"))))))))</f>
        <v>0</v>
      </c>
      <c r="V173" s="130" t="str">
        <f>IF(OR(AND(Q173=0,H173=0),P173&gt;0),"",IF(AND(I173="W",N173="W"),ROUND(Q173-(H173*Lookups!$B$9),0),ROUND(+Q173-L173,0)))</f>
        <v/>
      </c>
      <c r="W173" s="75" t="str">
        <f t="shared" si="12"/>
        <v>E</v>
      </c>
      <c r="X173" s="123" t="str">
        <f t="shared" si="15"/>
        <v/>
      </c>
      <c r="Y173" s="123" t="str">
        <f t="shared" si="13"/>
        <v>Y</v>
      </c>
      <c r="Z173" s="121"/>
    </row>
    <row r="174" spans="1:31" ht="29" x14ac:dyDescent="0.35">
      <c r="B174" s="21" t="s">
        <v>177</v>
      </c>
      <c r="C174" s="4" t="s">
        <v>178</v>
      </c>
      <c r="D174" s="17">
        <v>3640</v>
      </c>
      <c r="E174" s="15">
        <v>3120</v>
      </c>
      <c r="F174" s="12">
        <v>2340</v>
      </c>
      <c r="G174" s="20">
        <f t="shared" si="16"/>
        <v>3120</v>
      </c>
      <c r="H174" s="15">
        <v>50</v>
      </c>
      <c r="I174" s="19" t="s">
        <v>41</v>
      </c>
      <c r="J174" s="12">
        <v>2130</v>
      </c>
      <c r="K174" s="12"/>
      <c r="L174" s="20">
        <f>IF(I174="",0,IF(K174&gt;0,0,IF(I174="A",H174,IF(I174="M",H174*12,IF(I174="W",H174*(Lookups!$B$9+1),IF(I174="B",H174*(+Lookups!$B$10),IF(I174="S",H174*2,IF(AND(H174=0,K174&gt;0),K174,"ERROR"))))))))</f>
        <v>2650</v>
      </c>
      <c r="M174" s="15">
        <v>55</v>
      </c>
      <c r="N174" s="19" t="s">
        <v>41</v>
      </c>
      <c r="O174" s="12">
        <v>1850</v>
      </c>
      <c r="P174" s="12"/>
      <c r="Q174" s="20">
        <f>IF(N174="",0,IF(P174&gt;0,0,IF(N174="A",M174,IF(N174="M",M174*12,IF(N174="W",M174*(Lookups!$B$9),IF(N174="B",M174*(+Lookups!$B$10),IF(N174="S",M174*2,IF(AND(M174=0,P174&gt;0),P174,"ERROR"))))))))</f>
        <v>2860</v>
      </c>
      <c r="R174" s="15">
        <v>55</v>
      </c>
      <c r="S174" s="19" t="s">
        <v>41</v>
      </c>
      <c r="T174" s="12"/>
      <c r="U174" s="20">
        <f>IF(R174="",0,IF(T174&gt;0,0,IF(S174="A",R174,IF(S174="M",R174*12,IF(S174="W",R174*Lookups!B$9,IF(S174="B",R174*+Lookups!B$10,IF(S174="S",R174*2,IF(AND(R174=0,T174&gt;0),T174,"ERROR"))))))))</f>
        <v>2860</v>
      </c>
      <c r="V174" s="130">
        <f>IF(OR(AND(Q174=0,H174=0),P174&gt;0),"",IF(AND(I174="W",N174="W"),ROUND(Q174-(H174*Lookups!$B$9),0),ROUND(+Q174-L174,0)))</f>
        <v>260</v>
      </c>
      <c r="W174" s="75" t="str">
        <f t="shared" si="12"/>
        <v>I</v>
      </c>
      <c r="X174" s="123" t="str">
        <f t="shared" si="15"/>
        <v>N</v>
      </c>
      <c r="Y174" s="123" t="str">
        <f t="shared" si="13"/>
        <v/>
      </c>
      <c r="Z174" s="121"/>
      <c r="AA174" s="52" t="s">
        <v>596</v>
      </c>
      <c r="AB174" s="119" t="s">
        <v>597</v>
      </c>
      <c r="AC174" s="53" t="s">
        <v>598</v>
      </c>
      <c r="AD174" s="54" t="s">
        <v>599</v>
      </c>
      <c r="AE174" s="55" t="s">
        <v>600</v>
      </c>
    </row>
    <row r="175" spans="1:31" x14ac:dyDescent="0.35">
      <c r="B175" s="21" t="s">
        <v>316</v>
      </c>
      <c r="C175" s="4" t="s">
        <v>317</v>
      </c>
      <c r="D175" s="17">
        <v>165</v>
      </c>
      <c r="E175" s="15"/>
      <c r="F175" s="12"/>
      <c r="G175" s="20">
        <f t="shared" si="16"/>
        <v>0</v>
      </c>
      <c r="H175" s="15"/>
      <c r="I175" s="19"/>
      <c r="J175" s="12"/>
      <c r="K175" s="12"/>
      <c r="L175" s="20">
        <f>IF(I175="",0,IF(K175&gt;0,0,IF(I175="A",H175,IF(I175="M",H175*12,IF(I175="W",H175*(Lookups!$B$9+1),IF(I175="B",H175*(+Lookups!$B$10),IF(I175="S",H175*2,IF(AND(H175=0,K175&gt;0),K175,"ERROR"))))))))</f>
        <v>0</v>
      </c>
      <c r="M175" s="15"/>
      <c r="N175" s="19"/>
      <c r="O175" s="12">
        <v>40</v>
      </c>
      <c r="P175" s="12">
        <v>40</v>
      </c>
      <c r="Q175" s="20">
        <f>IF(N175="",0,IF(P175&gt;0,0,IF(N175="A",M175,IF(N175="M",M175*12,IF(N175="W",M175*(Lookups!$B$9),IF(N175="B",M175*(+Lookups!$B$10),IF(N175="S",M175*2,IF(AND(M175=0,P175&gt;0),P175,"ERROR"))))))))</f>
        <v>0</v>
      </c>
      <c r="R175" s="15"/>
      <c r="S175" s="19"/>
      <c r="T175" s="12"/>
      <c r="U175" s="20">
        <f>IF(R175="",0,IF(T175&gt;0,0,IF(S175="A",R175,IF(S175="M",R175*12,IF(S175="W",R175*Lookups!B$9,IF(S175="B",R175*+Lookups!B$10,IF(S175="S",R175*2,IF(AND(R175=0,T175&gt;0),T175,"ERROR"))))))))</f>
        <v>0</v>
      </c>
      <c r="V175" s="130" t="str">
        <f>IF(OR(AND(Q175=0,H175=0),P175&gt;0),"",IF(AND(I175="W",N175="W"),ROUND(Q175-(H175*Lookups!$B$9),0),ROUND(+Q175-L175,0)))</f>
        <v/>
      </c>
      <c r="W175" s="75" t="str">
        <f t="shared" si="12"/>
        <v>E</v>
      </c>
      <c r="X175" s="123" t="str">
        <f t="shared" si="15"/>
        <v/>
      </c>
      <c r="Y175" s="123" t="str">
        <f t="shared" si="13"/>
        <v>Y</v>
      </c>
      <c r="Z175" s="121"/>
    </row>
    <row r="176" spans="1:31" x14ac:dyDescent="0.35">
      <c r="A176" s="139" t="s">
        <v>638</v>
      </c>
      <c r="B176" s="108" t="s">
        <v>179</v>
      </c>
      <c r="C176" s="109" t="s">
        <v>180</v>
      </c>
      <c r="D176" s="127">
        <v>3225</v>
      </c>
      <c r="E176" s="111">
        <v>3900</v>
      </c>
      <c r="F176" s="110">
        <v>2275</v>
      </c>
      <c r="G176" s="112">
        <f t="shared" si="16"/>
        <v>2275</v>
      </c>
      <c r="H176" s="111">
        <v>0</v>
      </c>
      <c r="I176" s="113" t="s">
        <v>42</v>
      </c>
      <c r="J176" s="110"/>
      <c r="K176" s="110">
        <v>0</v>
      </c>
      <c r="L176" s="112">
        <f>IF(I176="",0,IF(K176&gt;0,0,IF(I176="A",H176,IF(I176="M",H176*12,IF(I176="W",H176*(Lookups!$B$9+1),IF(I176="B",H176*(+Lookups!$B$10),IF(I176="S",H176*2,IF(AND(H176=0,K176&gt;0),K176,"ERROR"))))))))</f>
        <v>0</v>
      </c>
      <c r="M176" s="111"/>
      <c r="N176" s="113"/>
      <c r="O176" s="110">
        <v>0</v>
      </c>
      <c r="P176" s="110"/>
      <c r="Q176" s="112">
        <f>IF(N176="",0,IF(P176&gt;0,0,IF(N176="A",M176,IF(N176="M",M176*12,IF(N176="W",M176*(Lookups!$B$9),IF(N176="B",M176*(+Lookups!$B$10),IF(N176="S",M176*2,IF(AND(M176=0,P176&gt;0),P176,"ERROR"))))))))</f>
        <v>0</v>
      </c>
      <c r="R176" s="111"/>
      <c r="S176" s="113"/>
      <c r="T176" s="110"/>
      <c r="U176" s="112">
        <f>IF(R176="",0,IF(T176&gt;0,0,IF(S176="A",R176,IF(S176="M",R176*12,IF(S176="W",R176*Lookups!B$9,IF(S176="B",R176*+Lookups!B$10,IF(S176="S",R176*2,IF(AND(R176=0,T176&gt;0),T176,"ERROR"))))))))</f>
        <v>0</v>
      </c>
      <c r="V176" s="85" t="str">
        <f>IF(OR(AND(Q176=0,H176=0),P176&gt;0),"",IF(AND(I176="W",N176="W"),ROUND(Q176-(H176*Lookups!$B$9),0),ROUND(+Q176-L176,0)))</f>
        <v/>
      </c>
      <c r="W176" s="86" t="str">
        <f t="shared" si="12"/>
        <v/>
      </c>
      <c r="X176" s="123" t="str">
        <f t="shared" si="15"/>
        <v/>
      </c>
      <c r="Y176" s="123" t="str">
        <f t="shared" si="13"/>
        <v/>
      </c>
      <c r="Z176" s="122"/>
      <c r="AA176" s="114" t="s">
        <v>502</v>
      </c>
      <c r="AB176" s="114"/>
      <c r="AC176" s="114"/>
      <c r="AD176" s="115"/>
      <c r="AE176" s="116"/>
    </row>
    <row r="177" spans="1:31" x14ac:dyDescent="0.35">
      <c r="B177" s="134" t="s">
        <v>181</v>
      </c>
      <c r="C177" s="4" t="s">
        <v>182</v>
      </c>
      <c r="D177" s="17">
        <v>300</v>
      </c>
      <c r="E177" s="15">
        <v>260</v>
      </c>
      <c r="F177" s="12">
        <v>220</v>
      </c>
      <c r="G177" s="20">
        <f t="shared" si="16"/>
        <v>260</v>
      </c>
      <c r="H177" s="15">
        <v>20</v>
      </c>
      <c r="I177" s="19" t="s">
        <v>42</v>
      </c>
      <c r="J177" s="12">
        <v>185</v>
      </c>
      <c r="K177" s="12"/>
      <c r="L177" s="20">
        <f>IF(I177="",0,IF(K177&gt;0,0,IF(I177="A",H177,IF(I177="M",H177*12,IF(I177="W",H177*(Lookups!$B$9+1),IF(I177="B",H177*(+Lookups!$B$10),IF(I177="S",H177*2,IF(AND(H177=0,K177&gt;0),K177,"ERROR"))))))))</f>
        <v>240</v>
      </c>
      <c r="M177" s="15">
        <v>20</v>
      </c>
      <c r="N177" s="19" t="s">
        <v>42</v>
      </c>
      <c r="O177" s="12">
        <v>160</v>
      </c>
      <c r="P177" s="12"/>
      <c r="Q177" s="20">
        <f>IF(N177="",0,IF(P177&gt;0,0,IF(N177="A",M177,IF(N177="M",M177*12,IF(N177="W",M177*(Lookups!$B$9),IF(N177="B",M177*(+Lookups!$B$10),IF(N177="S",M177*2,IF(AND(M177=0,P177&gt;0),P177,"ERROR"))))))))</f>
        <v>240</v>
      </c>
      <c r="R177" s="15"/>
      <c r="S177" s="19"/>
      <c r="T177" s="12">
        <v>240</v>
      </c>
      <c r="U177" s="20">
        <f>IF(R177="",0,IF(T177&gt;0,0,IF(S177="A",R177,IF(S177="M",R177*12,IF(S177="W",R177*Lookups!B$9,IF(S177="B",R177*+Lookups!B$10,IF(S177="S",R177*2,IF(AND(R177=0,T177&gt;0),T177,"ERROR"))))))))</f>
        <v>0</v>
      </c>
      <c r="V177" s="130">
        <f>IF(OR(AND(Q177=0,H177=0),P177&gt;0),"",IF(AND(I177="W",N177="W"),ROUND(Q177-(H177*Lookups!$B$9),0),ROUND(+Q177-L177,0)))</f>
        <v>0</v>
      </c>
      <c r="W177" s="75" t="str">
        <f t="shared" si="12"/>
        <v>S</v>
      </c>
      <c r="X177" s="123" t="str">
        <f t="shared" si="15"/>
        <v>N</v>
      </c>
      <c r="Y177" s="123" t="str">
        <f t="shared" si="13"/>
        <v/>
      </c>
      <c r="Z177" s="121"/>
    </row>
    <row r="178" spans="1:31" x14ac:dyDescent="0.35">
      <c r="B178" s="134" t="s">
        <v>183</v>
      </c>
      <c r="C178" s="4" t="s">
        <v>184</v>
      </c>
      <c r="D178" s="17">
        <v>1100</v>
      </c>
      <c r="E178" s="15">
        <v>1200</v>
      </c>
      <c r="F178" s="12">
        <v>900</v>
      </c>
      <c r="G178" s="20">
        <f t="shared" si="16"/>
        <v>1200</v>
      </c>
      <c r="H178" s="15"/>
      <c r="I178" s="19" t="s">
        <v>42</v>
      </c>
      <c r="J178" s="12">
        <v>600</v>
      </c>
      <c r="K178" s="12">
        <v>1000</v>
      </c>
      <c r="L178" s="20">
        <f>IF(I178="",0,IF(K178&gt;0,0,IF(I178="A",H178,IF(I178="M",H178*12,IF(I178="W",H178*(Lookups!$B$9+1),IF(I178="B",H178*(+Lookups!$B$10),IF(I178="S",H178*2,IF(AND(H178=0,K178&gt;0),K178,"ERROR"))))))))</f>
        <v>0</v>
      </c>
      <c r="M178" s="15">
        <v>100</v>
      </c>
      <c r="N178" s="19" t="s">
        <v>42</v>
      </c>
      <c r="O178" s="12">
        <v>800</v>
      </c>
      <c r="P178" s="12"/>
      <c r="Q178" s="20">
        <f>IF(N178="",0,IF(P178&gt;0,0,IF(N178="A",M178,IF(N178="M",M178*12,IF(N178="W",M178*(Lookups!$B$9),IF(N178="B",M178*(+Lookups!$B$10),IF(N178="S",M178*2,IF(AND(M178=0,P178&gt;0),P178,"ERROR"))))))))</f>
        <v>1200</v>
      </c>
      <c r="R178" s="15"/>
      <c r="S178" s="19"/>
      <c r="T178" s="12">
        <f>66.6666666666667*12</f>
        <v>800.00000000000045</v>
      </c>
      <c r="U178" s="20">
        <f>IF(R178="",0,IF(T178&gt;0,0,IF(S178="A",R178,IF(S178="M",R178*12,IF(S178="W",R178*Lookups!B$9,IF(S178="B",R178*+Lookups!B$10,IF(S178="S",R178*2,IF(AND(R178=0,T178&gt;0),T178,"ERROR"))))))))</f>
        <v>0</v>
      </c>
      <c r="V178" s="130">
        <f>IF(OR(AND(Q178=0,H178=0),P178&gt;0),"",IF(AND(I178="W",N178="W"),ROUND(Q178-(H178*Lookups!$B$9),0),ROUND(+Q178-L178,0)))</f>
        <v>1200</v>
      </c>
      <c r="W178" s="75" t="str">
        <f t="shared" si="12"/>
        <v>N</v>
      </c>
      <c r="X178" s="123" t="str">
        <f t="shared" si="15"/>
        <v>N</v>
      </c>
      <c r="Y178" s="123" t="str">
        <f t="shared" si="13"/>
        <v/>
      </c>
      <c r="Z178" s="121"/>
    </row>
    <row r="179" spans="1:31" x14ac:dyDescent="0.35">
      <c r="B179" s="21" t="s">
        <v>318</v>
      </c>
      <c r="C179" s="4" t="s">
        <v>319</v>
      </c>
      <c r="D179" s="17">
        <v>50</v>
      </c>
      <c r="E179" s="15"/>
      <c r="F179" s="12"/>
      <c r="G179" s="20">
        <f t="shared" si="16"/>
        <v>0</v>
      </c>
      <c r="H179" s="15"/>
      <c r="I179" s="19"/>
      <c r="J179" s="12"/>
      <c r="K179" s="12"/>
      <c r="L179" s="20">
        <f>IF(I179="",0,IF(K179&gt;0,0,IF(I179="A",H179,IF(I179="M",H179*12,IF(I179="W",H179*(Lookups!$B$9+1),IF(I179="B",H179*(+Lookups!$B$10),IF(I179="S",H179*2,IF(AND(H179=0,K179&gt;0),K179,"ERROR"))))))))</f>
        <v>0</v>
      </c>
      <c r="M179" s="15"/>
      <c r="N179" s="19"/>
      <c r="O179" s="12">
        <v>645</v>
      </c>
      <c r="P179" s="12">
        <v>900</v>
      </c>
      <c r="Q179" s="20">
        <f>IF(N179="",0,IF(P179&gt;0,0,IF(N179="A",M179,IF(N179="M",M179*12,IF(N179="W",M179*(Lookups!$B$9),IF(N179="B",M179*(+Lookups!$B$10),IF(N179="S",M179*2,IF(AND(M179=0,P179&gt;0),P179,"ERROR"))))))))</f>
        <v>0</v>
      </c>
      <c r="R179" s="15"/>
      <c r="S179" s="19"/>
      <c r="T179" s="12"/>
      <c r="U179" s="20">
        <f>IF(R179="",0,IF(T179&gt;0,0,IF(S179="A",R179,IF(S179="M",R179*12,IF(S179="W",R179*Lookups!B$9,IF(S179="B",R179*+Lookups!B$10,IF(S179="S",R179*2,IF(AND(R179=0,T179&gt;0),T179,"ERROR"))))))))</f>
        <v>0</v>
      </c>
      <c r="V179" s="130" t="str">
        <f>IF(OR(AND(Q179=0,H179=0),P179&gt;0),"",IF(AND(I179="W",N179="W"),ROUND(Q179-(H179*Lookups!$B$9),0),ROUND(+Q179-L179,0)))</f>
        <v/>
      </c>
      <c r="W179" s="75" t="str">
        <f t="shared" si="12"/>
        <v>E</v>
      </c>
      <c r="X179" s="123" t="str">
        <f t="shared" si="15"/>
        <v/>
      </c>
      <c r="Y179" s="123" t="str">
        <f t="shared" si="13"/>
        <v>Y</v>
      </c>
      <c r="Z179" s="121"/>
    </row>
    <row r="180" spans="1:31" x14ac:dyDescent="0.35">
      <c r="B180" s="21" t="s">
        <v>185</v>
      </c>
      <c r="C180" s="4" t="s">
        <v>186</v>
      </c>
      <c r="D180" s="17">
        <v>3300</v>
      </c>
      <c r="E180" s="15">
        <v>3500</v>
      </c>
      <c r="F180" s="12">
        <v>2475</v>
      </c>
      <c r="G180" s="20">
        <f t="shared" si="16"/>
        <v>2475</v>
      </c>
      <c r="H180" s="15">
        <v>275</v>
      </c>
      <c r="I180" s="19" t="s">
        <v>42</v>
      </c>
      <c r="J180" s="12">
        <v>2475</v>
      </c>
      <c r="K180" s="12"/>
      <c r="L180" s="20">
        <f>IF(I180="",0,IF(K180&gt;0,0,IF(I180="A",H180,IF(I180="M",H180*12,IF(I180="W",H180*(Lookups!$B$9+1),IF(I180="B",H180*(+Lookups!$B$10),IF(I180="S",H180*2,IF(AND(H180=0,K180&gt;0),K180,"ERROR"))))))))</f>
        <v>3300</v>
      </c>
      <c r="M180" s="15">
        <v>275</v>
      </c>
      <c r="N180" s="19" t="s">
        <v>42</v>
      </c>
      <c r="O180" s="12">
        <v>2200</v>
      </c>
      <c r="P180" s="12"/>
      <c r="Q180" s="20">
        <f>IF(N180="",0,IF(P180&gt;0,0,IF(N180="A",M180,IF(N180="M",M180*12,IF(N180="W",M180*(Lookups!$B$9),IF(N180="B",M180*(+Lookups!$B$10),IF(N180="S",M180*2,IF(AND(M180=0,P180&gt;0),P180,"ERROR"))))))))</f>
        <v>3300</v>
      </c>
      <c r="R180" s="15">
        <v>275</v>
      </c>
      <c r="S180" s="19" t="s">
        <v>42</v>
      </c>
      <c r="T180" s="12"/>
      <c r="U180" s="20">
        <f>IF(R180="",0,IF(T180&gt;0,0,IF(S180="A",R180,IF(S180="M",R180*12,IF(S180="W",R180*Lookups!B$9,IF(S180="B",R180*+Lookups!B$10,IF(S180="S",R180*2,IF(AND(R180=0,T180&gt;0),T180,"ERROR"))))))))</f>
        <v>3300</v>
      </c>
      <c r="V180" s="130">
        <f>IF(OR(AND(Q180=0,H180=0),P180&gt;0),"",IF(AND(I180="W",N180="W"),ROUND(Q180-(H180*Lookups!$B$9),0),ROUND(+Q180-L180,0)))</f>
        <v>0</v>
      </c>
      <c r="W180" s="75" t="str">
        <f t="shared" si="12"/>
        <v>S</v>
      </c>
      <c r="X180" s="123" t="str">
        <f t="shared" si="15"/>
        <v>N</v>
      </c>
      <c r="Y180" s="123" t="str">
        <f t="shared" si="13"/>
        <v/>
      </c>
      <c r="Z180" s="121"/>
      <c r="AA180" s="52" t="s">
        <v>479</v>
      </c>
      <c r="AB180" s="53" t="s">
        <v>480</v>
      </c>
      <c r="AC180" s="53" t="s">
        <v>394</v>
      </c>
      <c r="AD180" s="54" t="s">
        <v>395</v>
      </c>
      <c r="AE180" s="55">
        <v>53406</v>
      </c>
    </row>
    <row r="181" spans="1:31" x14ac:dyDescent="0.35">
      <c r="B181" s="21" t="s">
        <v>320</v>
      </c>
      <c r="C181" s="4" t="s">
        <v>321</v>
      </c>
      <c r="D181" s="17">
        <v>50</v>
      </c>
      <c r="E181" s="15"/>
      <c r="F181" s="12"/>
      <c r="G181" s="20">
        <f t="shared" si="16"/>
        <v>0</v>
      </c>
      <c r="H181" s="15"/>
      <c r="I181" s="19"/>
      <c r="J181" s="12"/>
      <c r="K181" s="12"/>
      <c r="L181" s="20">
        <f>IF(I181="",0,IF(K181&gt;0,0,IF(I181="A",H181,IF(I181="M",H181*12,IF(I181="W",H181*(Lookups!$B$9+1),IF(I181="B",H181*(+Lookups!$B$10),IF(I181="S",H181*2,IF(AND(H181=0,K181&gt;0),K181,"ERROR"))))))))</f>
        <v>0</v>
      </c>
      <c r="M181" s="15"/>
      <c r="N181" s="19"/>
      <c r="O181" s="12">
        <v>60</v>
      </c>
      <c r="P181" s="12">
        <v>60</v>
      </c>
      <c r="Q181" s="20">
        <f>IF(N181="",0,IF(P181&gt;0,0,IF(N181="A",M181,IF(N181="M",M181*12,IF(N181="W",M181*(Lookups!$B$9),IF(N181="B",M181*(+Lookups!$B$10),IF(N181="S",M181*2,IF(AND(M181=0,P181&gt;0),P181,"ERROR"))))))))</f>
        <v>0</v>
      </c>
      <c r="R181" s="15"/>
      <c r="S181" s="19"/>
      <c r="T181" s="12"/>
      <c r="U181" s="20">
        <f>IF(R181="",0,IF(T181&gt;0,0,IF(S181="A",R181,IF(S181="M",R181*12,IF(S181="W",R181*Lookups!B$9,IF(S181="B",R181*+Lookups!B$10,IF(S181="S",R181*2,IF(AND(R181=0,T181&gt;0),T181,"ERROR"))))))))</f>
        <v>0</v>
      </c>
      <c r="V181" s="130" t="str">
        <f>IF(OR(AND(Q181=0,H181=0),P181&gt;0),"",IF(AND(I181="W",N181="W"),ROUND(Q181-(H181*Lookups!$B$9),0),ROUND(+Q181-L181,0)))</f>
        <v/>
      </c>
      <c r="W181" s="75" t="str">
        <f t="shared" si="12"/>
        <v>E</v>
      </c>
      <c r="X181" s="123" t="str">
        <f t="shared" si="15"/>
        <v/>
      </c>
      <c r="Y181" s="123" t="str">
        <f t="shared" si="13"/>
        <v>Y</v>
      </c>
      <c r="Z181" s="121"/>
    </row>
    <row r="182" spans="1:31" x14ac:dyDescent="0.35">
      <c r="B182" s="168" t="s">
        <v>187</v>
      </c>
      <c r="C182" s="4" t="s">
        <v>188</v>
      </c>
      <c r="D182" s="17">
        <v>1060</v>
      </c>
      <c r="E182" s="15">
        <v>1144</v>
      </c>
      <c r="F182" s="12">
        <v>858</v>
      </c>
      <c r="G182" s="20">
        <f t="shared" si="16"/>
        <v>1144</v>
      </c>
      <c r="H182" s="15"/>
      <c r="I182" s="19" t="s">
        <v>41</v>
      </c>
      <c r="J182" s="12">
        <v>858</v>
      </c>
      <c r="K182" s="12">
        <v>1000</v>
      </c>
      <c r="L182" s="20">
        <f>IF(I182="",0,IF(K182&gt;0,0,IF(I182="A",H182,IF(I182="M",H182*12,IF(I182="W",H182*(Lookups!$B$9+1),IF(I182="B",H182*(+Lookups!$B$10),IF(I182="S",H182*2,IF(AND(H182=0,K182&gt;0),K182,"ERROR"))))))))</f>
        <v>0</v>
      </c>
      <c r="M182" s="15"/>
      <c r="N182" s="19"/>
      <c r="O182" s="12">
        <v>770</v>
      </c>
      <c r="P182" s="12">
        <v>1000</v>
      </c>
      <c r="Q182" s="20">
        <f>IF(N182="",0,IF(P182&gt;0,0,IF(N182="A",M182,IF(N182="M",M182*12,IF(N182="W",M182*(Lookups!$B$9),IF(N182="B",M182*(+Lookups!$B$10),IF(N182="S",M182*2,IF(AND(M182=0,P182&gt;0),P182,"ERROR"))))))))</f>
        <v>0</v>
      </c>
      <c r="R182" s="15"/>
      <c r="S182" s="19"/>
      <c r="T182" s="12">
        <v>1000</v>
      </c>
      <c r="U182" s="20">
        <f>IF(R182="",0,IF(T182&gt;0,0,IF(S182="A",R182,IF(S182="M",R182*12,IF(S182="W",R182*Lookups!B$9,IF(S182="B",R182*+Lookups!B$10,IF(S182="S",R182*2,IF(AND(R182=0,T182&gt;0),T182,"ERROR"))))))))</f>
        <v>0</v>
      </c>
      <c r="V182" s="130" t="str">
        <f>IF(OR(AND(Q182=0,H182=0),P182&gt;0),"",IF(AND(I182="W",N182="W"),ROUND(Q182-(H182*Lookups!$B$9),0),ROUND(+Q182-L182,0)))</f>
        <v/>
      </c>
      <c r="W182" s="75" t="str">
        <f t="shared" si="12"/>
        <v>E</v>
      </c>
      <c r="X182" s="123" t="str">
        <f t="shared" si="15"/>
        <v/>
      </c>
      <c r="Y182" s="123" t="str">
        <f t="shared" si="13"/>
        <v>Y</v>
      </c>
      <c r="Z182" s="121"/>
    </row>
    <row r="183" spans="1:31" x14ac:dyDescent="0.35">
      <c r="B183" s="168" t="s">
        <v>660</v>
      </c>
      <c r="C183" s="4" t="s">
        <v>661</v>
      </c>
      <c r="D183" s="17"/>
      <c r="E183" s="15"/>
      <c r="F183" s="12"/>
      <c r="G183" s="20"/>
      <c r="H183" s="15"/>
      <c r="I183" s="19"/>
      <c r="J183" s="12"/>
      <c r="K183" s="12"/>
      <c r="L183" s="20"/>
      <c r="M183" s="15"/>
      <c r="N183" s="19"/>
      <c r="O183" s="12">
        <v>35</v>
      </c>
      <c r="P183" s="12">
        <v>35</v>
      </c>
      <c r="Q183" s="20">
        <f>IF(N183="",0,IF(P183&gt;0,0,IF(N183="A",M183,IF(N183="M",M183*12,IF(N183="W",M183*(Lookups!$B$9),IF(N183="B",M183*(+Lookups!$B$10),IF(N183="S",M183*2,IF(AND(M183=0,P183&gt;0),P183,"ERROR"))))))))</f>
        <v>0</v>
      </c>
      <c r="R183" s="15"/>
      <c r="S183" s="19"/>
      <c r="T183" s="12"/>
      <c r="U183" s="20">
        <f>IF(R183="",0,IF(T183&gt;0,0,IF(S183="A",R183,IF(S183="M",R183*12,IF(S183="W",R183*Lookups!B$9,IF(S183="B",R183*+Lookups!B$10,IF(S183="S",R183*2,IF(AND(R183=0,T183&gt;0),T183,"ERROR"))))))))</f>
        <v>0</v>
      </c>
      <c r="V183" s="130" t="str">
        <f>IF(OR(AND(Q183=0,H183=0),P183&gt;0),"",IF(AND(I183="W",N183="W"),ROUND(Q183-(H183*Lookups!$B$9),0),ROUND(+Q183-L183,0)))</f>
        <v/>
      </c>
      <c r="W183" s="75" t="str">
        <f t="shared" si="12"/>
        <v>E</v>
      </c>
      <c r="X183" s="123" t="str">
        <f t="shared" si="15"/>
        <v/>
      </c>
      <c r="Y183" s="123" t="str">
        <f t="shared" si="13"/>
        <v>Y</v>
      </c>
      <c r="Z183" s="121"/>
    </row>
    <row r="184" spans="1:31" x14ac:dyDescent="0.35">
      <c r="B184" s="168" t="s">
        <v>660</v>
      </c>
      <c r="C184" s="4" t="s">
        <v>662</v>
      </c>
      <c r="D184" s="17"/>
      <c r="E184" s="15"/>
      <c r="F184" s="12"/>
      <c r="G184" s="20"/>
      <c r="H184" s="15"/>
      <c r="I184" s="19"/>
      <c r="J184" s="12"/>
      <c r="K184" s="12"/>
      <c r="L184" s="20"/>
      <c r="M184" s="15"/>
      <c r="N184" s="19"/>
      <c r="O184" s="12">
        <v>438</v>
      </c>
      <c r="P184" s="12">
        <v>500</v>
      </c>
      <c r="Q184" s="20">
        <f>IF(N184="",0,IF(P184&gt;0,0,IF(N184="A",M184,IF(N184="M",M184*12,IF(N184="W",M184*(Lookups!$B$9),IF(N184="B",M184*(+Lookups!$B$10),IF(N184="S",M184*2,IF(AND(M184=0,P184&gt;0),P184,"ERROR"))))))))</f>
        <v>0</v>
      </c>
      <c r="R184" s="15"/>
      <c r="S184" s="19"/>
      <c r="T184" s="12"/>
      <c r="U184" s="20">
        <f>IF(R184="",0,IF(T184&gt;0,0,IF(S184="A",R184,IF(S184="M",R184*12,IF(S184="W",R184*Lookups!B$9,IF(S184="B",R184*+Lookups!B$10,IF(S184="S",R184*2,IF(AND(R184=0,T184&gt;0),T184,"ERROR"))))))))</f>
        <v>0</v>
      </c>
      <c r="V184" s="130" t="str">
        <f>IF(OR(AND(Q184=0,H184=0),P184&gt;0),"",IF(AND(I184="W",N184="W"),ROUND(Q184-(H184*Lookups!$B$9),0),ROUND(+Q184-L184,0)))</f>
        <v/>
      </c>
      <c r="W184" s="75" t="str">
        <f t="shared" si="12"/>
        <v>E</v>
      </c>
      <c r="X184" s="123" t="str">
        <f t="shared" si="15"/>
        <v/>
      </c>
      <c r="Y184" s="123" t="str">
        <f t="shared" si="13"/>
        <v>Y</v>
      </c>
      <c r="Z184" s="121"/>
    </row>
    <row r="185" spans="1:31" x14ac:dyDescent="0.35">
      <c r="B185" s="21" t="s">
        <v>628</v>
      </c>
      <c r="C185" s="4" t="s">
        <v>629</v>
      </c>
      <c r="D185" s="17"/>
      <c r="E185" s="15"/>
      <c r="F185" s="12"/>
      <c r="G185" s="20">
        <f t="shared" si="16"/>
        <v>0</v>
      </c>
      <c r="H185" s="15"/>
      <c r="I185" s="19"/>
      <c r="J185" s="12">
        <v>450</v>
      </c>
      <c r="K185" s="12"/>
      <c r="L185" s="20">
        <f>IF(I185="",0,IF(K185&gt;0,0,IF(I185="A",H185,IF(I185="M",H185*12,IF(I185="W",H185*(Lookups!$B$9+1),IF(I185="B",H185*(+Lookups!$B$10),IF(I185="S",H185*2,IF(AND(H185=0,K185&gt;0),K185,"ERROR"))))))))</f>
        <v>0</v>
      </c>
      <c r="M185" s="15"/>
      <c r="N185" s="19"/>
      <c r="O185" s="12">
        <v>500</v>
      </c>
      <c r="P185" s="12">
        <v>650</v>
      </c>
      <c r="Q185" s="20">
        <f>IF(N185="",0,IF(P185&gt;0,0,IF(N185="A",M185,IF(N185="M",M185*12,IF(N185="W",M185*(Lookups!$B$9),IF(N185="B",M185*(+Lookups!$B$10),IF(N185="S",M185*2,IF(AND(M185=0,P185&gt;0),P185,"ERROR"))))))))</f>
        <v>0</v>
      </c>
      <c r="R185" s="15"/>
      <c r="S185" s="19"/>
      <c r="T185" s="12"/>
      <c r="U185" s="20">
        <f>IF(R185="",0,IF(T185&gt;0,0,IF(S185="A",R185,IF(S185="M",R185*12,IF(S185="W",R185*Lookups!B$9,IF(S185="B",R185*+Lookups!B$10,IF(S185="S",R185*2,IF(AND(R185=0,T185&gt;0),T185,"ERROR"))))))))</f>
        <v>0</v>
      </c>
      <c r="V185" s="130" t="str">
        <f>IF(OR(AND(Q185=0,H185=0),P185&gt;0),"",IF(AND(I185="W",N185="W"),ROUND(Q185-(H185*Lookups!$B$9),0),ROUND(+Q185-L185,0)))</f>
        <v/>
      </c>
      <c r="W185" s="75" t="str">
        <f t="shared" si="12"/>
        <v>E</v>
      </c>
      <c r="X185" s="123" t="str">
        <f t="shared" si="15"/>
        <v/>
      </c>
      <c r="Y185" s="123" t="str">
        <f t="shared" si="13"/>
        <v>Y</v>
      </c>
      <c r="Z185" s="121"/>
    </row>
    <row r="186" spans="1:31" x14ac:dyDescent="0.35">
      <c r="B186" s="21" t="s">
        <v>663</v>
      </c>
      <c r="C186" s="4" t="s">
        <v>664</v>
      </c>
      <c r="D186" s="17"/>
      <c r="E186" s="15"/>
      <c r="F186" s="12"/>
      <c r="G186" s="20"/>
      <c r="H186" s="15"/>
      <c r="I186" s="19"/>
      <c r="J186" s="12"/>
      <c r="K186" s="12"/>
      <c r="L186" s="20"/>
      <c r="M186" s="15"/>
      <c r="N186" s="19"/>
      <c r="O186" s="12">
        <v>180</v>
      </c>
      <c r="P186" s="12">
        <v>250</v>
      </c>
      <c r="Q186" s="20">
        <f>IF(N186="",0,IF(P186&gt;0,0,IF(N186="A",M186,IF(N186="M",M186*12,IF(N186="W",M186*(Lookups!$B$9),IF(N186="B",M186*(+Lookups!$B$10),IF(N186="S",M186*2,IF(AND(M186=0,P186&gt;0),P186,"ERROR"))))))))</f>
        <v>0</v>
      </c>
      <c r="R186" s="15"/>
      <c r="S186" s="19"/>
      <c r="T186" s="12"/>
      <c r="U186" s="20">
        <f>IF(R186="",0,IF(T186&gt;0,0,IF(S186="A",R186,IF(S186="M",R186*12,IF(S186="W",R186*Lookups!B$9,IF(S186="B",R186*+Lookups!B$10,IF(S186="S",R186*2,IF(AND(R186=0,T186&gt;0),T186,"ERROR"))))))))</f>
        <v>0</v>
      </c>
      <c r="V186" s="130" t="str">
        <f>IF(OR(AND(Q186=0,H186=0),P186&gt;0),"",IF(AND(I186="W",N186="W"),ROUND(Q186-(H186*Lookups!$B$9),0),ROUND(+Q186-L186,0)))</f>
        <v/>
      </c>
      <c r="W186" s="75" t="str">
        <f t="shared" si="12"/>
        <v>E</v>
      </c>
      <c r="X186" s="123" t="str">
        <f t="shared" si="15"/>
        <v/>
      </c>
      <c r="Y186" s="123" t="str">
        <f t="shared" si="13"/>
        <v>Y</v>
      </c>
      <c r="Z186" s="121"/>
    </row>
    <row r="187" spans="1:31" x14ac:dyDescent="0.35">
      <c r="B187" s="21" t="s">
        <v>189</v>
      </c>
      <c r="C187" s="4" t="s">
        <v>190</v>
      </c>
      <c r="D187" s="17">
        <v>1500</v>
      </c>
      <c r="E187" s="15">
        <v>1200</v>
      </c>
      <c r="F187" s="12">
        <v>800</v>
      </c>
      <c r="G187" s="20">
        <f t="shared" si="16"/>
        <v>800</v>
      </c>
      <c r="H187" s="15">
        <v>100</v>
      </c>
      <c r="I187" s="19" t="s">
        <v>42</v>
      </c>
      <c r="J187" s="12">
        <v>1000</v>
      </c>
      <c r="K187" s="12"/>
      <c r="L187" s="20">
        <f>IF(I187="",0,IF(K187&gt;0,0,IF(I187="A",H187,IF(I187="M",H187*12,IF(I187="W",H187*(Lookups!$B$9+1),IF(I187="B",H187*(+Lookups!$B$10),IF(I187="S",H187*2,IF(AND(H187=0,K187&gt;0),K187,"ERROR"))))))))</f>
        <v>1200</v>
      </c>
      <c r="M187" s="15">
        <v>100</v>
      </c>
      <c r="N187" s="19" t="s">
        <v>42</v>
      </c>
      <c r="O187" s="12">
        <v>900</v>
      </c>
      <c r="P187" s="12"/>
      <c r="Q187" s="20">
        <f>IF(N187="",0,IF(P187&gt;0,0,IF(N187="A",M187,IF(N187="M",M187*12,IF(N187="W",M187*(Lookups!$B$9),IF(N187="B",M187*(+Lookups!$B$10),IF(N187="S",M187*2,IF(AND(M187=0,P187&gt;0),P187,"ERROR"))))))))</f>
        <v>1200</v>
      </c>
      <c r="R187" s="15">
        <v>100</v>
      </c>
      <c r="S187" s="19" t="s">
        <v>42</v>
      </c>
      <c r="T187" s="12"/>
      <c r="U187" s="20">
        <f>IF(R187="",0,IF(T187&gt;0,0,IF(S187="A",R187,IF(S187="M",R187*12,IF(S187="W",R187*Lookups!B$9,IF(S187="B",R187*+Lookups!B$10,IF(S187="S",R187*2,IF(AND(R187=0,T187&gt;0),T187,"ERROR"))))))))</f>
        <v>1200</v>
      </c>
      <c r="V187" s="130">
        <f>IF(OR(AND(Q187=0,H187=0),P187&gt;0),"",IF(AND(I187="W",N187="W"),ROUND(Q187-(H187*Lookups!$B$9),0),ROUND(+Q187-L187,0)))</f>
        <v>0</v>
      </c>
      <c r="W187" s="75" t="str">
        <f t="shared" si="12"/>
        <v>S</v>
      </c>
      <c r="X187" s="123" t="str">
        <f t="shared" si="15"/>
        <v>N</v>
      </c>
      <c r="Y187" s="123" t="str">
        <f t="shared" si="13"/>
        <v/>
      </c>
      <c r="Z187" s="121"/>
      <c r="AA187" s="52" t="s">
        <v>601</v>
      </c>
      <c r="AB187" s="53" t="s">
        <v>481</v>
      </c>
      <c r="AC187" s="53" t="s">
        <v>420</v>
      </c>
      <c r="AD187" s="54" t="s">
        <v>395</v>
      </c>
      <c r="AE187" s="55">
        <v>53182</v>
      </c>
    </row>
    <row r="188" spans="1:31" x14ac:dyDescent="0.35">
      <c r="B188" s="21" t="s">
        <v>191</v>
      </c>
      <c r="C188" s="4" t="s">
        <v>603</v>
      </c>
      <c r="D188" s="17">
        <v>4275</v>
      </c>
      <c r="E188" s="15">
        <v>5980</v>
      </c>
      <c r="F188" s="12">
        <v>1840</v>
      </c>
      <c r="G188" s="20">
        <f t="shared" si="16"/>
        <v>1840</v>
      </c>
      <c r="H188" s="15"/>
      <c r="I188" s="19" t="s">
        <v>41</v>
      </c>
      <c r="J188" s="12">
        <v>2130</v>
      </c>
      <c r="K188" s="12">
        <v>2000</v>
      </c>
      <c r="L188" s="20">
        <f>IF(I188="",0,IF(K188&gt;0,0,IF(I188="A",H188,IF(I188="M",H188*12,IF(I188="W",H188*(Lookups!$B$9+1),IF(I188="B",H188*(+Lookups!$B$10),IF(I188="S",H188*2,IF(AND(H188=0,K188&gt;0),K188,"ERROR"))))))))</f>
        <v>0</v>
      </c>
      <c r="M188" s="15">
        <v>50</v>
      </c>
      <c r="N188" s="19" t="s">
        <v>41</v>
      </c>
      <c r="O188" s="12">
        <v>900</v>
      </c>
      <c r="P188" s="12"/>
      <c r="Q188" s="20">
        <f>IF(N188="",0,IF(P188&gt;0,0,IF(N188="A",M188,IF(N188="M",M188*12,IF(N188="W",M188*(Lookups!$B$9),IF(N188="B",M188*(+Lookups!$B$10),IF(N188="S",M188*2,IF(AND(M188=0,P188&gt;0),P188,"ERROR"))))))))</f>
        <v>2600</v>
      </c>
      <c r="R188" s="15">
        <v>50</v>
      </c>
      <c r="S188" s="19" t="s">
        <v>41</v>
      </c>
      <c r="T188" s="12"/>
      <c r="U188" s="20">
        <f>IF(R188="",0,IF(T188&gt;0,0,IF(S188="A",R188,IF(S188="M",R188*12,IF(S188="W",R188*Lookups!B$9,IF(S188="B",R188*+Lookups!B$10,IF(S188="S",R188*2,IF(AND(R188=0,T188&gt;0),T188,"ERROR"))))))))</f>
        <v>2600</v>
      </c>
      <c r="V188" s="130">
        <f>IF(OR(AND(Q188=0,H188=0),P188&gt;0),"",IF(AND(I188="W",N188="W"),ROUND(Q188-(H188*Lookups!$B$9),0),ROUND(+Q188-L188,0)))</f>
        <v>2600</v>
      </c>
      <c r="W188" s="75" t="str">
        <f t="shared" si="12"/>
        <v>N</v>
      </c>
      <c r="X188" s="123" t="str">
        <f t="shared" si="15"/>
        <v>N</v>
      </c>
      <c r="Y188" s="123" t="str">
        <f t="shared" si="13"/>
        <v/>
      </c>
      <c r="Z188" s="121"/>
      <c r="AA188" s="52" t="s">
        <v>602</v>
      </c>
      <c r="AB188" s="53" t="s">
        <v>604</v>
      </c>
      <c r="AC188" s="53" t="s">
        <v>412</v>
      </c>
      <c r="AD188" s="54" t="s">
        <v>395</v>
      </c>
      <c r="AE188" s="55">
        <v>53108</v>
      </c>
    </row>
    <row r="189" spans="1:31" x14ac:dyDescent="0.35">
      <c r="A189" s="139" t="s">
        <v>638</v>
      </c>
      <c r="B189" s="21" t="s">
        <v>192</v>
      </c>
      <c r="C189" s="4" t="s">
        <v>193</v>
      </c>
      <c r="D189" s="17">
        <v>200</v>
      </c>
      <c r="E189" s="15">
        <v>480</v>
      </c>
      <c r="F189" s="12">
        <v>450</v>
      </c>
      <c r="G189" s="20">
        <f t="shared" si="16"/>
        <v>480</v>
      </c>
      <c r="H189" s="15"/>
      <c r="I189" s="19" t="s">
        <v>42</v>
      </c>
      <c r="J189" s="12"/>
      <c r="K189" s="12">
        <v>400</v>
      </c>
      <c r="L189" s="20">
        <f>IF(I189="",0,IF(K189&gt;0,0,IF(I189="A",H189,IF(I189="M",H189*12,IF(I189="W",H189*(Lookups!$B$9+1),IF(I189="B",H189*(+Lookups!$B$10),IF(I189="S",H189*2,IF(AND(H189=0,K189&gt;0),K189,"ERROR"))))))))</f>
        <v>0</v>
      </c>
      <c r="M189" s="15"/>
      <c r="N189" s="19"/>
      <c r="O189" s="12">
        <v>0</v>
      </c>
      <c r="P189" s="12"/>
      <c r="Q189" s="20">
        <f>IF(N189="",0,IF(P189&gt;0,0,IF(N189="A",M189,IF(N189="M",M189*12,IF(N189="W",M189*(Lookups!$B$9),IF(N189="B",M189*(+Lookups!$B$10),IF(N189="S",M189*2,IF(AND(M189=0,P189&gt;0),P189,"ERROR"))))))))</f>
        <v>0</v>
      </c>
      <c r="R189" s="15"/>
      <c r="S189" s="19"/>
      <c r="T189" s="12"/>
      <c r="U189" s="20">
        <f>IF(R189="",0,IF(T189&gt;0,0,IF(S189="A",R189,IF(S189="M",R189*12,IF(S189="W",R189*Lookups!B$9,IF(S189="B",R189*+Lookups!B$10,IF(S189="S",R189*2,IF(AND(R189=0,T189&gt;0),T189,"ERROR"))))))))</f>
        <v>0</v>
      </c>
      <c r="V189" s="130" t="str">
        <f>IF(OR(AND(Q189=0,H189=0),P189&gt;0),"",IF(AND(I189="W",N189="W"),ROUND(Q189-(H189*Lookups!$B$9),0),ROUND(+Q189-L189,0)))</f>
        <v/>
      </c>
      <c r="W189" s="75" t="str">
        <f t="shared" si="12"/>
        <v/>
      </c>
      <c r="X189" s="123" t="str">
        <f t="shared" si="15"/>
        <v/>
      </c>
      <c r="Y189" s="123" t="str">
        <f t="shared" si="13"/>
        <v/>
      </c>
      <c r="Z189" s="121"/>
    </row>
    <row r="190" spans="1:31" x14ac:dyDescent="0.35">
      <c r="B190" s="21" t="s">
        <v>665</v>
      </c>
      <c r="C190" s="4" t="s">
        <v>666</v>
      </c>
      <c r="D190" s="17"/>
      <c r="E190" s="15"/>
      <c r="F190" s="12"/>
      <c r="G190" s="20"/>
      <c r="H190" s="15"/>
      <c r="I190" s="19"/>
      <c r="J190" s="12"/>
      <c r="K190" s="12"/>
      <c r="L190" s="20"/>
      <c r="M190" s="15"/>
      <c r="N190" s="19"/>
      <c r="O190" s="12">
        <v>450</v>
      </c>
      <c r="P190" s="12">
        <v>500</v>
      </c>
      <c r="Q190" s="20">
        <f>IF(N190="",0,IF(P190&gt;0,0,IF(N190="A",M190,IF(N190="M",M190*12,IF(N190="W",M190*(Lookups!$B$9),IF(N190="B",M190*(+Lookups!$B$10),IF(N190="S",M190*2,IF(AND(M190=0,P190&gt;0),P190,"ERROR"))))))))</f>
        <v>0</v>
      </c>
      <c r="R190" s="15"/>
      <c r="S190" s="19"/>
      <c r="T190" s="12"/>
      <c r="U190" s="20">
        <f>IF(R190="",0,IF(T190&gt;0,0,IF(S190="A",R190,IF(S190="M",R190*12,IF(S190="W",R190*Lookups!B$9,IF(S190="B",R190*+Lookups!B$10,IF(S190="S",R190*2,IF(AND(R190=0,T190&gt;0),T190,"ERROR"))))))))</f>
        <v>0</v>
      </c>
      <c r="V190" s="130" t="str">
        <f>IF(OR(AND(Q190=0,H190=0),P190&gt;0),"",IF(AND(I190="W",N190="W"),ROUND(Q190-(H190*Lookups!$B$9),0),ROUND(+Q190-L190,0)))</f>
        <v/>
      </c>
      <c r="W190" s="75" t="str">
        <f t="shared" si="12"/>
        <v>E</v>
      </c>
      <c r="X190" s="123" t="str">
        <f t="shared" si="15"/>
        <v/>
      </c>
      <c r="Y190" s="123" t="str">
        <f t="shared" si="13"/>
        <v>Y</v>
      </c>
      <c r="Z190" s="121"/>
    </row>
    <row r="191" spans="1:31" x14ac:dyDescent="0.35">
      <c r="A191" s="139" t="s">
        <v>638</v>
      </c>
      <c r="B191" s="21" t="s">
        <v>322</v>
      </c>
      <c r="C191" s="4" t="s">
        <v>323</v>
      </c>
      <c r="D191" s="17">
        <v>1600</v>
      </c>
      <c r="E191" s="15"/>
      <c r="F191" s="12"/>
      <c r="G191" s="20">
        <f t="shared" si="16"/>
        <v>0</v>
      </c>
      <c r="H191" s="15"/>
      <c r="I191" s="19"/>
      <c r="J191" s="12"/>
      <c r="K191" s="12"/>
      <c r="L191" s="20">
        <f>IF(I191="",0,IF(K191&gt;0,0,IF(I191="A",H191,IF(I191="M",H191*12,IF(I191="W",H191*(Lookups!$B$9+1),IF(I191="B",H191*(+Lookups!$B$10),IF(I191="S",H191*2,IF(AND(H191=0,K191&gt;0),K191,"ERROR"))))))))</f>
        <v>0</v>
      </c>
      <c r="M191" s="15"/>
      <c r="N191" s="19"/>
      <c r="O191" s="12">
        <v>0</v>
      </c>
      <c r="P191" s="12"/>
      <c r="Q191" s="20">
        <f>IF(N191="",0,IF(P191&gt;0,0,IF(N191="A",M191,IF(N191="M",M191*12,IF(N191="W",M191*(Lookups!$B$9),IF(N191="B",M191*(+Lookups!$B$10),IF(N191="S",M191*2,IF(AND(M191=0,P191&gt;0),P191,"ERROR"))))))))</f>
        <v>0</v>
      </c>
      <c r="R191" s="15"/>
      <c r="S191" s="19"/>
      <c r="T191" s="12"/>
      <c r="U191" s="20">
        <f>IF(R191="",0,IF(T191&gt;0,0,IF(S191="A",R191,IF(S191="M",R191*12,IF(S191="W",R191*Lookups!B$9,IF(S191="B",R191*+Lookups!B$10,IF(S191="S",R191*2,IF(AND(R191=0,T191&gt;0),T191,"ERROR"))))))))</f>
        <v>0</v>
      </c>
      <c r="V191" s="130" t="str">
        <f>IF(OR(AND(Q191=0,H191=0),P191&gt;0),"",IF(AND(I191="W",N191="W"),ROUND(Q191-(H191*Lookups!$B$9),0),ROUND(+Q191-L191,0)))</f>
        <v/>
      </c>
      <c r="W191" s="75" t="str">
        <f t="shared" si="12"/>
        <v/>
      </c>
      <c r="X191" s="123" t="str">
        <f t="shared" si="15"/>
        <v/>
      </c>
      <c r="Y191" s="123" t="str">
        <f t="shared" si="13"/>
        <v/>
      </c>
      <c r="Z191" s="121"/>
    </row>
    <row r="192" spans="1:31" x14ac:dyDescent="0.35">
      <c r="A192" s="139" t="s">
        <v>638</v>
      </c>
      <c r="B192" s="21" t="s">
        <v>324</v>
      </c>
      <c r="C192" s="4" t="s">
        <v>325</v>
      </c>
      <c r="D192" s="17">
        <v>345</v>
      </c>
      <c r="E192" s="15"/>
      <c r="F192" s="12">
        <v>425</v>
      </c>
      <c r="G192" s="20">
        <f t="shared" si="16"/>
        <v>425</v>
      </c>
      <c r="H192" s="15"/>
      <c r="I192" s="19"/>
      <c r="J192" s="12"/>
      <c r="K192" s="12"/>
      <c r="L192" s="20">
        <f>IF(I192="",0,IF(K192&gt;0,0,IF(I192="A",H192,IF(I192="M",H192*12,IF(I192="W",H192*(Lookups!$B$9+1),IF(I192="B",H192*(+Lookups!$B$10),IF(I192="S",H192*2,IF(AND(H192=0,K192&gt;0),K192,"ERROR"))))))))</f>
        <v>0</v>
      </c>
      <c r="M192" s="15"/>
      <c r="N192" s="19"/>
      <c r="O192" s="12">
        <v>0</v>
      </c>
      <c r="P192" s="12"/>
      <c r="Q192" s="20">
        <f>IF(N192="",0,IF(P192&gt;0,0,IF(N192="A",M192,IF(N192="M",M192*12,IF(N192="W",M192*(Lookups!$B$9),IF(N192="B",M192*(+Lookups!$B$10),IF(N192="S",M192*2,IF(AND(M192=0,P192&gt;0),P192,"ERROR"))))))))</f>
        <v>0</v>
      </c>
      <c r="R192" s="15"/>
      <c r="S192" s="19"/>
      <c r="T192" s="12"/>
      <c r="U192" s="20">
        <f>IF(R192="",0,IF(T192&gt;0,0,IF(S192="A",R192,IF(S192="M",R192*12,IF(S192="W",R192*Lookups!B$9,IF(S192="B",R192*+Lookups!B$10,IF(S192="S",R192*2,IF(AND(R192=0,T192&gt;0),T192,"ERROR"))))))))</f>
        <v>0</v>
      </c>
      <c r="V192" s="130" t="str">
        <f>IF(OR(AND(Q192=0,H192=0),P192&gt;0),"",IF(AND(I192="W",N192="W"),ROUND(Q192-(H192*Lookups!$B$9),0),ROUND(+Q192-L192,0)))</f>
        <v/>
      </c>
      <c r="W192" s="75" t="str">
        <f t="shared" si="12"/>
        <v/>
      </c>
      <c r="X192" s="123" t="str">
        <f t="shared" si="15"/>
        <v/>
      </c>
      <c r="Y192" s="123" t="str">
        <f t="shared" si="13"/>
        <v/>
      </c>
      <c r="Z192" s="121"/>
    </row>
    <row r="193" spans="1:32" s="131" customFormat="1" x14ac:dyDescent="0.35">
      <c r="A193" s="169"/>
      <c r="B193" s="69" t="s">
        <v>326</v>
      </c>
      <c r="C193" s="70" t="s">
        <v>327</v>
      </c>
      <c r="D193" s="91">
        <v>700</v>
      </c>
      <c r="E193" s="72"/>
      <c r="F193" s="71">
        <v>480</v>
      </c>
      <c r="G193" s="73">
        <f t="shared" si="16"/>
        <v>480</v>
      </c>
      <c r="H193" s="72"/>
      <c r="I193" s="74"/>
      <c r="J193" s="71">
        <v>520</v>
      </c>
      <c r="K193" s="71"/>
      <c r="L193" s="73">
        <f>IF(I193="",0,IF(K193&gt;0,0,IF(I193="A",H193,IF(I193="M",H193*12,IF(I193="W",H193*(Lookups!$B$9+1),IF(I193="B",H193*(+Lookups!$B$10),IF(I193="S",H193*2,IF(AND(H193=0,K193&gt;0),K193,"ERROR"))))))))</f>
        <v>0</v>
      </c>
      <c r="M193" s="72"/>
      <c r="N193" s="74"/>
      <c r="O193" s="71">
        <v>585</v>
      </c>
      <c r="P193" s="71">
        <v>600</v>
      </c>
      <c r="Q193" s="73">
        <f>IF(N193="",0,IF(P193&gt;0,0,IF(N193="A",M193,IF(N193="M",M193*12,IF(N193="W",M193*(Lookups!$B$9),IF(N193="B",M193*(+Lookups!$B$10),IF(N193="S",M193*2,IF(AND(M193=0,P193&gt;0),P193,"ERROR"))))))))</f>
        <v>0</v>
      </c>
      <c r="R193" s="72"/>
      <c r="S193" s="74"/>
      <c r="T193" s="71"/>
      <c r="U193" s="73">
        <f>IF(R193="",0,IF(T193&gt;0,0,IF(S193="A",R193,IF(S193="M",R193*12,IF(S193="W",R193*Lookups!B$9,IF(S193="B",R193*+Lookups!B$10,IF(S193="S",R193*2,IF(AND(R193=0,T193&gt;0),T193,"ERROR"))))))))</f>
        <v>0</v>
      </c>
      <c r="V193" s="130" t="str">
        <f>IF(OR(AND(Q193=0,H193=0),P193&gt;0),"",IF(AND(I193="W",N193="W"),ROUND(Q193-(H193*Lookups!$B$9),0),ROUND(+Q193-L193,0)))</f>
        <v/>
      </c>
      <c r="W193" s="75" t="str">
        <f t="shared" si="12"/>
        <v>E</v>
      </c>
      <c r="X193" s="123" t="str">
        <f t="shared" si="15"/>
        <v/>
      </c>
      <c r="Y193" s="123" t="str">
        <f t="shared" si="13"/>
        <v>Y</v>
      </c>
      <c r="Z193" s="123"/>
      <c r="AA193" s="170" t="s">
        <v>482</v>
      </c>
      <c r="AB193" s="76" t="s">
        <v>483</v>
      </c>
      <c r="AC193" s="76" t="s">
        <v>484</v>
      </c>
      <c r="AD193" s="77" t="s">
        <v>395</v>
      </c>
      <c r="AE193" s="78">
        <v>54495</v>
      </c>
      <c r="AF193" s="76" t="s">
        <v>485</v>
      </c>
    </row>
    <row r="194" spans="1:32" x14ac:dyDescent="0.35">
      <c r="B194" s="21" t="s">
        <v>194</v>
      </c>
      <c r="C194" s="4" t="s">
        <v>195</v>
      </c>
      <c r="D194" s="17">
        <v>492</v>
      </c>
      <c r="E194" s="15">
        <v>260</v>
      </c>
      <c r="F194" s="12">
        <v>388</v>
      </c>
      <c r="G194" s="20">
        <f t="shared" si="16"/>
        <v>388</v>
      </c>
      <c r="H194" s="15">
        <v>7</v>
      </c>
      <c r="I194" s="19" t="s">
        <v>41</v>
      </c>
      <c r="J194" s="12">
        <v>390</v>
      </c>
      <c r="K194" s="12"/>
      <c r="L194" s="20">
        <f>IF(I194="",0,IF(K194&gt;0,0,IF(I194="A",H194,IF(I194="M",H194*12,IF(I194="W",H194*(Lookups!$B$9+1),IF(I194="B",H194*(+Lookups!$B$10),IF(I194="S",H194*2,IF(AND(H194=0,K194&gt;0),K194,"ERROR"))))))))</f>
        <v>371</v>
      </c>
      <c r="M194" s="15">
        <v>10</v>
      </c>
      <c r="N194" s="19" t="s">
        <v>41</v>
      </c>
      <c r="O194" s="12">
        <v>340</v>
      </c>
      <c r="P194" s="12"/>
      <c r="Q194" s="20">
        <f>IF(N194="",0,IF(P194&gt;0,0,IF(N194="A",M194,IF(N194="M",M194*12,IF(N194="W",M194*(Lookups!$B$9),IF(N194="B",M194*(+Lookups!$B$10),IF(N194="S",M194*2,IF(AND(M194=0,P194&gt;0),P194,"ERROR"))))))))</f>
        <v>520</v>
      </c>
      <c r="R194" s="15">
        <v>10</v>
      </c>
      <c r="S194" s="19" t="s">
        <v>41</v>
      </c>
      <c r="T194" s="12"/>
      <c r="U194" s="20">
        <f>IF(R194="",0,IF(T194&gt;0,0,IF(S194="A",R194,IF(S194="M",R194*12,IF(S194="W",R194*Lookups!B$9,IF(S194="B",R194*+Lookups!B$10,IF(S194="S",R194*2,IF(AND(R194=0,T194&gt;0),T194,"ERROR"))))))))</f>
        <v>520</v>
      </c>
      <c r="V194" s="130">
        <f>IF(OR(AND(Q194=0,H194=0),P194&gt;0),"",IF(AND(I194="W",N194="W"),ROUND(Q194-(H194*Lookups!$B$9),0),ROUND(+Q194-L194,0)))</f>
        <v>156</v>
      </c>
      <c r="W194" s="75" t="str">
        <f t="shared" si="12"/>
        <v>I</v>
      </c>
      <c r="X194" s="123" t="str">
        <f t="shared" si="15"/>
        <v>N</v>
      </c>
      <c r="Y194" s="123" t="str">
        <f t="shared" si="13"/>
        <v/>
      </c>
      <c r="Z194" s="121"/>
      <c r="AB194" s="53" t="s">
        <v>488</v>
      </c>
      <c r="AC194" s="53" t="s">
        <v>418</v>
      </c>
      <c r="AD194" s="54" t="s">
        <v>395</v>
      </c>
      <c r="AE194" s="55">
        <v>53405</v>
      </c>
    </row>
    <row r="195" spans="1:32" s="131" customFormat="1" x14ac:dyDescent="0.35">
      <c r="A195" s="169"/>
      <c r="B195" s="69" t="s">
        <v>328</v>
      </c>
      <c r="C195" s="70" t="s">
        <v>329</v>
      </c>
      <c r="D195" s="91">
        <v>600</v>
      </c>
      <c r="E195" s="72"/>
      <c r="F195" s="71"/>
      <c r="G195" s="73">
        <f t="shared" si="16"/>
        <v>0</v>
      </c>
      <c r="H195" s="72"/>
      <c r="I195" s="74"/>
      <c r="J195" s="71"/>
      <c r="K195" s="71"/>
      <c r="L195" s="73">
        <f>IF(I195="",0,IF(K195&gt;0,0,IF(I195="A",H195,IF(I195="M",H195*12,IF(I195="W",H195*(Lookups!$B$9+1),IF(I195="B",H195*(+Lookups!$B$10),IF(I195="S",H195*2,IF(AND(H195=0,K195&gt;0),K195,"ERROR"))))))))</f>
        <v>0</v>
      </c>
      <c r="M195" s="72"/>
      <c r="N195" s="74"/>
      <c r="O195" s="71">
        <v>835</v>
      </c>
      <c r="P195" s="71">
        <v>1000</v>
      </c>
      <c r="Q195" s="73">
        <f>IF(N195="",0,IF(P195&gt;0,0,IF(N195="A",M195,IF(N195="M",M195*12,IF(N195="W",M195*(Lookups!$B$9),IF(N195="B",M195*(+Lookups!$B$10),IF(N195="S",M195*2,IF(AND(M195=0,P195&gt;0),P195,"ERROR"))))))))</f>
        <v>0</v>
      </c>
      <c r="R195" s="72"/>
      <c r="S195" s="74"/>
      <c r="T195" s="71"/>
      <c r="U195" s="73">
        <f>IF(R195="",0,IF(T195&gt;0,0,IF(S195="A",R195,IF(S195="M",R195*12,IF(S195="W",R195*Lookups!B$9,IF(S195="B",R195*+Lookups!B$10,IF(S195="S",R195*2,IF(AND(R195=0,T195&gt;0),T195,"ERROR"))))))))</f>
        <v>0</v>
      </c>
      <c r="V195" s="130" t="str">
        <f>IF(OR(AND(Q195=0,H195=0),P195&gt;0),"",IF(AND(I195="W",N195="W"),ROUND(Q195-(H195*Lookups!$B$9),0),ROUND(+Q195-L195,0)))</f>
        <v/>
      </c>
      <c r="W195" s="75" t="str">
        <f t="shared" si="12"/>
        <v>E</v>
      </c>
      <c r="X195" s="123" t="str">
        <f t="shared" si="15"/>
        <v/>
      </c>
      <c r="Y195" s="123" t="str">
        <f t="shared" si="13"/>
        <v>Y</v>
      </c>
      <c r="Z195" s="123"/>
      <c r="AA195" s="76" t="s">
        <v>506</v>
      </c>
      <c r="AB195" s="76"/>
      <c r="AC195" s="76"/>
      <c r="AD195" s="77"/>
      <c r="AE195" s="78"/>
    </row>
    <row r="196" spans="1:32" s="131" customFormat="1" x14ac:dyDescent="0.35">
      <c r="A196" s="169"/>
      <c r="B196" s="69" t="s">
        <v>667</v>
      </c>
      <c r="C196" s="70" t="s">
        <v>668</v>
      </c>
      <c r="D196" s="91"/>
      <c r="E196" s="72"/>
      <c r="F196" s="71"/>
      <c r="G196" s="73"/>
      <c r="H196" s="72"/>
      <c r="I196" s="74"/>
      <c r="J196" s="71"/>
      <c r="K196" s="71"/>
      <c r="L196" s="73"/>
      <c r="M196" s="72"/>
      <c r="N196" s="74"/>
      <c r="O196" s="71">
        <v>1000</v>
      </c>
      <c r="P196" s="71">
        <v>1000</v>
      </c>
      <c r="Q196" s="20">
        <f>IF(N196="",0,IF(P196&gt;0,0,IF(N196="A",M196,IF(N196="M",M196*12,IF(N196="W",M196*(Lookups!$B$9),IF(N196="B",M196*(+Lookups!$B$10),IF(N196="S",M196*2,IF(AND(M196=0,P196&gt;0),P196,"ERROR"))))))))</f>
        <v>0</v>
      </c>
      <c r="R196" s="72"/>
      <c r="S196" s="74"/>
      <c r="T196" s="71"/>
      <c r="U196" s="20">
        <f>IF(R196="",0,IF(T196&gt;0,0,IF(S196="A",R196,IF(S196="M",R196*12,IF(S196="W",R196*Lookups!B$9,IF(S196="B",R196*+Lookups!B$10,IF(S196="S",R196*2,IF(AND(R196=0,T196&gt;0),T196,"ERROR"))))))))</f>
        <v>0</v>
      </c>
      <c r="V196" s="130" t="str">
        <f>IF(OR(AND(Q196=0,H196=0),P196&gt;0),"",IF(AND(I196="W",N196="W"),ROUND(Q196-(H196*Lookups!$B$9),0),ROUND(+Q196-L196,0)))</f>
        <v/>
      </c>
      <c r="W196" s="75" t="str">
        <f t="shared" si="12"/>
        <v>E</v>
      </c>
      <c r="X196" s="123" t="str">
        <f t="shared" si="15"/>
        <v/>
      </c>
      <c r="Y196" s="123" t="str">
        <f t="shared" si="13"/>
        <v>Y</v>
      </c>
      <c r="Z196" s="123"/>
      <c r="AA196" s="76"/>
      <c r="AB196" s="76"/>
      <c r="AC196" s="76"/>
      <c r="AD196" s="77"/>
      <c r="AE196" s="78"/>
    </row>
    <row r="197" spans="1:32" x14ac:dyDescent="0.35">
      <c r="B197" s="134" t="s">
        <v>330</v>
      </c>
      <c r="C197" s="4" t="s">
        <v>331</v>
      </c>
      <c r="D197" s="17">
        <v>600</v>
      </c>
      <c r="E197" s="15"/>
      <c r="F197" s="12"/>
      <c r="G197" s="20">
        <f t="shared" si="16"/>
        <v>0</v>
      </c>
      <c r="H197" s="15">
        <v>600</v>
      </c>
      <c r="I197" s="19" t="s">
        <v>38</v>
      </c>
      <c r="J197" s="12">
        <v>600</v>
      </c>
      <c r="K197" s="12"/>
      <c r="L197" s="20">
        <f>IF(I197="",0,IF(K197&gt;0,0,IF(I197="A",H197,IF(I197="M",H197*12,IF(I197="W",H197*(Lookups!$B$9+1),IF(I197="B",H197*(+Lookups!$B$10),IF(I197="S",H197*2,IF(AND(H197=0,K197&gt;0),K197,"ERROR"))))))))</f>
        <v>600</v>
      </c>
      <c r="M197" s="15"/>
      <c r="N197" s="19"/>
      <c r="O197" s="12">
        <v>600</v>
      </c>
      <c r="P197" s="12">
        <v>600</v>
      </c>
      <c r="Q197" s="20">
        <f>IF(N197="",0,IF(P197&gt;0,0,IF(N197="A",M197,IF(N197="M",M197*12,IF(N197="W",M197*(Lookups!$B$9),IF(N197="B",M197*(+Lookups!$B$10),IF(N197="S",M197*2,IF(AND(M197=0,P197&gt;0),P197,"ERROR"))))))))</f>
        <v>0</v>
      </c>
      <c r="R197" s="15"/>
      <c r="S197" s="19"/>
      <c r="T197" s="12">
        <v>600</v>
      </c>
      <c r="U197" s="20">
        <f>IF(R197="",0,IF(T197&gt;0,0,IF(S197="A",R197,IF(S197="M",R197*12,IF(S197="W",R197*Lookups!B$9,IF(S197="B",R197*+Lookups!B$10,IF(S197="S",R197*2,IF(AND(R197=0,T197&gt;0),T197,"ERROR"))))))))</f>
        <v>0</v>
      </c>
      <c r="V197" s="130" t="str">
        <f>IF(OR(AND(Q197=0,H197=0),P197&gt;0),"",IF(AND(I197="W",N197="W"),ROUND(Q197-(H197*Lookups!$B$9),0),ROUND(+Q197-L197,0)))</f>
        <v/>
      </c>
      <c r="W197" s="75" t="str">
        <f t="shared" ref="W197:W243" si="17">IF(P197&gt;0,"E",IF(V197="","",IF(V197=0,"S",IF(AND(V197&gt;0,NOT(H197=0)),"I",IF(AND(V197&gt;0,H197=0),"N",IF(V197&lt;0,"D","ERROR"))))))</f>
        <v>E</v>
      </c>
      <c r="X197" s="123" t="str">
        <f t="shared" si="15"/>
        <v/>
      </c>
      <c r="Y197" s="123" t="str">
        <f t="shared" ref="Y197:Y242" si="18">IF(AND(P197&gt;0,W197="E"),"Y",IF(AND(OR(P197&lt;0,P197=0),W197="E"),"P",""))</f>
        <v>Y</v>
      </c>
      <c r="Z197" s="121"/>
    </row>
    <row r="198" spans="1:32" x14ac:dyDescent="0.35">
      <c r="A198" s="139" t="s">
        <v>638</v>
      </c>
      <c r="B198" s="108" t="s">
        <v>330</v>
      </c>
      <c r="C198" s="109" t="s">
        <v>332</v>
      </c>
      <c r="D198" s="127">
        <v>502</v>
      </c>
      <c r="E198" s="111"/>
      <c r="F198" s="110"/>
      <c r="G198" s="112">
        <f t="shared" si="16"/>
        <v>0</v>
      </c>
      <c r="H198" s="111"/>
      <c r="I198" s="113"/>
      <c r="J198" s="110"/>
      <c r="K198" s="110"/>
      <c r="L198" s="112">
        <f>IF(I198="",0,IF(K198&gt;0,0,IF(I198="A",H198,IF(I198="M",H198*12,IF(I198="W",H198*(Lookups!$B$9+1),IF(I198="B",H198*(+Lookups!$B$10),IF(I198="S",H198*2,IF(AND(H198=0,K198&gt;0),K198,"ERROR"))))))))</f>
        <v>0</v>
      </c>
      <c r="M198" s="111"/>
      <c r="N198" s="113"/>
      <c r="O198" s="110">
        <v>0</v>
      </c>
      <c r="P198" s="110"/>
      <c r="Q198" s="112">
        <f>IF(N198="",0,IF(P198&gt;0,0,IF(N198="A",M198,IF(N198="M",M198*12,IF(N198="W",M198*(Lookups!$B$9),IF(N198="B",M198*(+Lookups!$B$10),IF(N198="S",M198*2,IF(AND(M198=0,P198&gt;0),P198,"ERROR"))))))))</f>
        <v>0</v>
      </c>
      <c r="R198" s="111"/>
      <c r="S198" s="113"/>
      <c r="T198" s="110"/>
      <c r="U198" s="112">
        <f>IF(R198="",0,IF(T198&gt;0,0,IF(S198="A",R198,IF(S198="M",R198*12,IF(S198="W",R198*Lookups!B$9,IF(S198="B",R198*+Lookups!B$10,IF(S198="S",R198*2,IF(AND(R198=0,T198&gt;0),T198,"ERROR"))))))))</f>
        <v>0</v>
      </c>
      <c r="V198" s="85" t="str">
        <f>IF(OR(AND(Q198=0,H198=0),P198&gt;0),"",IF(AND(I198="W",N198="W"),ROUND(Q198-(H198*Lookups!$B$9),0),ROUND(+Q198-L198,0)))</f>
        <v/>
      </c>
      <c r="W198" s="86" t="str">
        <f t="shared" si="17"/>
        <v/>
      </c>
      <c r="X198" s="123" t="str">
        <f t="shared" si="15"/>
        <v/>
      </c>
      <c r="Y198" s="123" t="str">
        <f t="shared" si="18"/>
        <v/>
      </c>
      <c r="Z198" s="122"/>
      <c r="AA198" s="114" t="s">
        <v>502</v>
      </c>
      <c r="AB198" s="114"/>
      <c r="AC198" s="114"/>
      <c r="AD198" s="115"/>
      <c r="AE198" s="116"/>
    </row>
    <row r="199" spans="1:32" x14ac:dyDescent="0.35">
      <c r="B199" s="134" t="s">
        <v>333</v>
      </c>
      <c r="C199" s="4" t="s">
        <v>334</v>
      </c>
      <c r="D199" s="17">
        <v>4100</v>
      </c>
      <c r="E199" s="15"/>
      <c r="F199" s="12">
        <v>3600</v>
      </c>
      <c r="G199" s="20">
        <f t="shared" si="16"/>
        <v>3600</v>
      </c>
      <c r="H199" s="15">
        <v>110</v>
      </c>
      <c r="I199" s="19" t="s">
        <v>41</v>
      </c>
      <c r="J199" s="12">
        <v>4290</v>
      </c>
      <c r="K199" s="12"/>
      <c r="L199" s="20">
        <f>IF(I199="",0,IF(K199&gt;0,0,IF(I199="A",H199,IF(I199="M",H199*12,IF(I199="W",H199*(Lookups!$B$9+1),IF(I199="B",H199*(+Lookups!$B$10),IF(I199="S",H199*2,IF(AND(H199=0,K199&gt;0),K199,"ERROR"))))))))</f>
        <v>5830</v>
      </c>
      <c r="M199" s="15"/>
      <c r="N199" s="19"/>
      <c r="O199" s="12">
        <v>660</v>
      </c>
      <c r="P199" s="12">
        <v>660</v>
      </c>
      <c r="Q199" s="20">
        <f>IF(N199="",0,IF(P199&gt;0,0,IF(N199="A",M199,IF(N199="M",M199*12,IF(N199="W",M199*(Lookups!$B$9),IF(N199="B",M199*(+Lookups!$B$10),IF(N199="S",M199*2,IF(AND(M199=0,P199&gt;0),P199,"ERROR"))))))))</f>
        <v>0</v>
      </c>
      <c r="R199" s="15"/>
      <c r="S199" s="19"/>
      <c r="T199" s="12">
        <v>5700</v>
      </c>
      <c r="U199" s="20">
        <f>IF(R199="",0,IF(T199&gt;0,0,IF(S199="A",R199,IF(S199="M",R199*12,IF(S199="W",R199*Lookups!B$9,IF(S199="B",R199*+Lookups!B$10,IF(S199="S",R199*2,IF(AND(R199=0,T199&gt;0),T199,"ERROR"))))))))</f>
        <v>0</v>
      </c>
      <c r="V199" s="130" t="str">
        <f>IF(OR(AND(Q199=0,H199=0),P199&gt;0),"",IF(AND(I199="W",N199="W"),ROUND(Q199-(H199*Lookups!$B$9),0),ROUND(+Q199-L199,0)))</f>
        <v/>
      </c>
      <c r="W199" s="75" t="str">
        <f t="shared" si="17"/>
        <v>E</v>
      </c>
      <c r="X199" s="123" t="str">
        <f t="shared" si="15"/>
        <v/>
      </c>
      <c r="Y199" s="123" t="str">
        <f t="shared" si="18"/>
        <v>Y</v>
      </c>
      <c r="Z199" s="121"/>
    </row>
    <row r="200" spans="1:32" x14ac:dyDescent="0.35">
      <c r="A200" s="139" t="s">
        <v>638</v>
      </c>
      <c r="B200" s="21" t="s">
        <v>196</v>
      </c>
      <c r="C200" s="4" t="s">
        <v>197</v>
      </c>
      <c r="D200" s="17">
        <v>60</v>
      </c>
      <c r="E200" s="15">
        <v>240</v>
      </c>
      <c r="F200" s="12">
        <v>40</v>
      </c>
      <c r="G200" s="20">
        <f t="shared" si="16"/>
        <v>40</v>
      </c>
      <c r="H200" s="15"/>
      <c r="I200" s="19" t="s">
        <v>42</v>
      </c>
      <c r="J200" s="12"/>
      <c r="K200" s="12"/>
      <c r="L200" s="20">
        <f>IF(I200="",0,IF(K200&gt;0,0,IF(I200="A",H200,IF(I200="M",H200*12,IF(I200="W",H200*(Lookups!$B$9+1),IF(I200="B",H200*(+Lookups!$B$10),IF(I200="S",H200*2,IF(AND(H200=0,K200&gt;0),K200,"ERROR"))))))))</f>
        <v>0</v>
      </c>
      <c r="M200" s="15"/>
      <c r="N200" s="19"/>
      <c r="O200" s="12">
        <v>100</v>
      </c>
      <c r="P200" s="12">
        <v>100</v>
      </c>
      <c r="Q200" s="20">
        <f>IF(N200="",0,IF(P200&gt;0,0,IF(N200="A",M200,IF(N200="M",M200*12,IF(N200="W",M200*(Lookups!$B$9),IF(N200="B",M200*(+Lookups!$B$10),IF(N200="S",M200*2,IF(AND(M200=0,P200&gt;0),P200,"ERROR"))))))))</f>
        <v>0</v>
      </c>
      <c r="R200" s="15"/>
      <c r="S200" s="19"/>
      <c r="T200" s="12"/>
      <c r="U200" s="20">
        <f>IF(R200="",0,IF(T200&gt;0,0,IF(S200="A",R200,IF(S200="M",R200*12,IF(S200="W",R200*Lookups!B$9,IF(S200="B",R200*+Lookups!B$10,IF(S200="S",R200*2,IF(AND(R200=0,T200&gt;0),T200,"ERROR"))))))))</f>
        <v>0</v>
      </c>
      <c r="V200" s="130" t="str">
        <f>IF(OR(AND(Q200=0,H200=0),P200&gt;0),"",IF(AND(I200="W",N200="W"),ROUND(Q200-(H200*Lookups!$B$9),0),ROUND(+Q200-L200,0)))</f>
        <v/>
      </c>
      <c r="W200" s="75" t="str">
        <f t="shared" si="17"/>
        <v>E</v>
      </c>
      <c r="X200" s="123" t="str">
        <f t="shared" ref="X200:X242" si="19">IF(Q200&gt;0,IF(OR(O200=Q200,O200&gt;Q200),"Y","N"),"")</f>
        <v/>
      </c>
      <c r="Y200" s="123" t="str">
        <f t="shared" si="18"/>
        <v>Y</v>
      </c>
      <c r="Z200" s="121"/>
    </row>
    <row r="201" spans="1:32" x14ac:dyDescent="0.35">
      <c r="A201" s="139" t="s">
        <v>638</v>
      </c>
      <c r="B201" s="108" t="s">
        <v>335</v>
      </c>
      <c r="C201" s="109" t="s">
        <v>336</v>
      </c>
      <c r="D201" s="127">
        <v>500</v>
      </c>
      <c r="E201" s="111"/>
      <c r="F201" s="110"/>
      <c r="G201" s="112">
        <f t="shared" si="16"/>
        <v>0</v>
      </c>
      <c r="H201" s="111"/>
      <c r="I201" s="113"/>
      <c r="J201" s="110"/>
      <c r="K201" s="110"/>
      <c r="L201" s="112">
        <f>IF(I201="",0,IF(K201&gt;0,0,IF(I201="A",H201,IF(I201="M",H201*12,IF(I201="W",H201*(Lookups!$B$9+1),IF(I201="B",H201*(+Lookups!$B$10),IF(I201="S",H201*2,IF(AND(H201=0,K201&gt;0),K201,"ERROR"))))))))</f>
        <v>0</v>
      </c>
      <c r="M201" s="111"/>
      <c r="N201" s="113"/>
      <c r="O201" s="110">
        <v>0</v>
      </c>
      <c r="P201" s="110"/>
      <c r="Q201" s="112">
        <f>IF(N201="",0,IF(P201&gt;0,0,IF(N201="A",M201,IF(N201="M",M201*12,IF(N201="W",M201*(Lookups!$B$9),IF(N201="B",M201*(+Lookups!$B$10),IF(N201="S",M201*2,IF(AND(M201=0,P201&gt;0),P201,"ERROR"))))))))</f>
        <v>0</v>
      </c>
      <c r="R201" s="111"/>
      <c r="S201" s="113"/>
      <c r="T201" s="110"/>
      <c r="U201" s="112">
        <f>IF(R201="",0,IF(T201&gt;0,0,IF(S201="A",R201,IF(S201="M",R201*12,IF(S201="W",R201*Lookups!B$9,IF(S201="B",R201*+Lookups!B$10,IF(S201="S",R201*2,IF(AND(R201=0,T201&gt;0),T201,"ERROR"))))))))</f>
        <v>0</v>
      </c>
      <c r="V201" s="85" t="str">
        <f>IF(OR(AND(Q201=0,H201=0),P201&gt;0),"",IF(AND(I201="W",N201="W"),ROUND(Q201-(H201*Lookups!$B$9),0),ROUND(+Q201-L201,0)))</f>
        <v/>
      </c>
      <c r="W201" s="86" t="str">
        <f t="shared" si="17"/>
        <v/>
      </c>
      <c r="X201" s="123" t="str">
        <f t="shared" si="19"/>
        <v/>
      </c>
      <c r="Y201" s="123" t="str">
        <f t="shared" si="18"/>
        <v/>
      </c>
      <c r="Z201" s="122"/>
      <c r="AA201" s="114" t="s">
        <v>502</v>
      </c>
      <c r="AB201" s="114"/>
      <c r="AC201" s="114"/>
      <c r="AD201" s="115"/>
      <c r="AE201" s="116"/>
    </row>
    <row r="202" spans="1:32" x14ac:dyDescent="0.35">
      <c r="B202" s="21" t="s">
        <v>337</v>
      </c>
      <c r="C202" s="4" t="s">
        <v>338</v>
      </c>
      <c r="D202" s="17">
        <v>1300</v>
      </c>
      <c r="E202" s="15"/>
      <c r="F202" s="12">
        <v>1050</v>
      </c>
      <c r="G202" s="20">
        <f t="shared" si="16"/>
        <v>1050</v>
      </c>
      <c r="H202" s="15"/>
      <c r="I202" s="19"/>
      <c r="J202" s="12">
        <v>900</v>
      </c>
      <c r="K202" s="12">
        <v>1300</v>
      </c>
      <c r="L202" s="20">
        <f>IF(I202="",0,IF(K202&gt;0,0,IF(I202="A",H202,IF(I202="M",H202*12,IF(I202="W",H202*(Lookups!$B$9+1),IF(I202="B",H202*(+Lookups!$B$10),IF(I202="S",H202*2,IF(AND(H202=0,K202&gt;0),K202,"ERROR"))))))))</f>
        <v>0</v>
      </c>
      <c r="M202" s="15"/>
      <c r="N202" s="19"/>
      <c r="O202" s="12">
        <v>1400</v>
      </c>
      <c r="P202" s="12">
        <v>1400</v>
      </c>
      <c r="Q202" s="20">
        <f>IF(N202="",0,IF(P202&gt;0,0,IF(N202="A",M202,IF(N202="M",M202*12,IF(N202="W",M202*(Lookups!$B$9),IF(N202="B",M202*(+Lookups!$B$10),IF(N202="S",M202*2,IF(AND(M202=0,P202&gt;0),P202,"ERROR"))))))))</f>
        <v>0</v>
      </c>
      <c r="R202" s="15"/>
      <c r="S202" s="19"/>
      <c r="T202" s="12">
        <f>100*12</f>
        <v>1200</v>
      </c>
      <c r="U202" s="20">
        <f>IF(R202="",0,IF(T202&gt;0,0,IF(S202="A",R202,IF(S202="M",R202*12,IF(S202="W",R202*Lookups!B$9,IF(S202="B",R202*+Lookups!B$10,IF(S202="S",R202*2,IF(AND(R202=0,T202&gt;0),T202,"ERROR"))))))))</f>
        <v>0</v>
      </c>
      <c r="V202" s="130" t="str">
        <f>IF(OR(AND(Q202=0,H202=0),P202&gt;0),"",IF(AND(I202="W",N202="W"),ROUND(Q202-(H202*Lookups!$B$9),0),ROUND(+Q202-L202,0)))</f>
        <v/>
      </c>
      <c r="W202" s="75" t="str">
        <f t="shared" si="17"/>
        <v>E</v>
      </c>
      <c r="X202" s="123" t="str">
        <f t="shared" si="19"/>
        <v/>
      </c>
      <c r="Y202" s="123" t="str">
        <f t="shared" si="18"/>
        <v>Y</v>
      </c>
      <c r="Z202" s="121"/>
    </row>
    <row r="203" spans="1:32" x14ac:dyDescent="0.35">
      <c r="B203" s="21" t="s">
        <v>198</v>
      </c>
      <c r="C203" s="4" t="s">
        <v>199</v>
      </c>
      <c r="D203" s="17">
        <v>1065</v>
      </c>
      <c r="E203" s="15">
        <v>1040</v>
      </c>
      <c r="F203" s="12">
        <v>775</v>
      </c>
      <c r="G203" s="20">
        <f t="shared" si="16"/>
        <v>1040</v>
      </c>
      <c r="H203" s="15">
        <v>20</v>
      </c>
      <c r="I203" s="19" t="s">
        <v>41</v>
      </c>
      <c r="J203" s="12">
        <v>740</v>
      </c>
      <c r="K203" s="12"/>
      <c r="L203" s="20">
        <f>IF(I203="",0,IF(K203&gt;0,0,IF(I203="A",H203,IF(I203="M",H203*12,IF(I203="W",H203*(Lookups!$B$9+1),IF(I203="B",H203*(+Lookups!$B$10),IF(I203="S",H203*2,IF(AND(H203=0,K203&gt;0),K203,"ERROR"))))))))</f>
        <v>1060</v>
      </c>
      <c r="M203" s="15">
        <v>20</v>
      </c>
      <c r="N203" s="19" t="s">
        <v>41</v>
      </c>
      <c r="O203" s="12">
        <v>670</v>
      </c>
      <c r="P203" s="12"/>
      <c r="Q203" s="20">
        <f>IF(N203="",0,IF(P203&gt;0,0,IF(N203="A",M203,IF(N203="M",M203*12,IF(N203="W",M203*(Lookups!$B$9),IF(N203="B",M203*(+Lookups!$B$10),IF(N203="S",M203*2,IF(AND(M203=0,P203&gt;0),P203,"ERROR"))))))))</f>
        <v>1040</v>
      </c>
      <c r="R203" s="15">
        <v>20</v>
      </c>
      <c r="S203" s="19" t="s">
        <v>41</v>
      </c>
      <c r="T203" s="12"/>
      <c r="U203" s="20">
        <f>IF(R203="",0,IF(T203&gt;0,0,IF(S203="A",R203,IF(S203="M",R203*12,IF(S203="W",R203*Lookups!B$9,IF(S203="B",R203*+Lookups!B$10,IF(S203="S",R203*2,IF(AND(R203=0,T203&gt;0),T203,"ERROR"))))))))</f>
        <v>1040</v>
      </c>
      <c r="V203" s="130">
        <f>IF(OR(AND(Q203=0,H203=0),P203&gt;0),"",IF(AND(I203="W",N203="W"),ROUND(Q203-(H203*Lookups!$B$9),0),ROUND(+Q203-L203,0)))</f>
        <v>0</v>
      </c>
      <c r="W203" s="75" t="str">
        <f t="shared" si="17"/>
        <v>S</v>
      </c>
      <c r="X203" s="123" t="str">
        <f t="shared" si="19"/>
        <v>N</v>
      </c>
      <c r="Y203" s="123" t="str">
        <f t="shared" si="18"/>
        <v/>
      </c>
      <c r="Z203" s="121"/>
      <c r="AA203" s="52" t="s">
        <v>486</v>
      </c>
      <c r="AB203" s="53" t="s">
        <v>487</v>
      </c>
      <c r="AC203" s="53" t="s">
        <v>418</v>
      </c>
      <c r="AD203" s="54" t="s">
        <v>395</v>
      </c>
      <c r="AE203" s="55">
        <v>53405</v>
      </c>
    </row>
    <row r="204" spans="1:32" x14ac:dyDescent="0.35">
      <c r="B204" s="21" t="s">
        <v>339</v>
      </c>
      <c r="C204" s="4" t="s">
        <v>340</v>
      </c>
      <c r="D204" s="17">
        <v>130</v>
      </c>
      <c r="E204" s="15"/>
      <c r="F204" s="12">
        <v>100</v>
      </c>
      <c r="G204" s="20">
        <f t="shared" si="16"/>
        <v>100</v>
      </c>
      <c r="H204" s="15"/>
      <c r="I204" s="19"/>
      <c r="J204" s="12">
        <v>175</v>
      </c>
      <c r="K204" s="12"/>
      <c r="L204" s="20">
        <f>IF(I204="",0,IF(K204&gt;0,0,IF(I204="A",H204,IF(I204="M",H204*12,IF(I204="W",H204*(Lookups!$B$9+1),IF(I204="B",H204*(+Lookups!$B$10),IF(I204="S",H204*2,IF(AND(H204=0,K204&gt;0),K204,"ERROR"))))))))</f>
        <v>0</v>
      </c>
      <c r="M204" s="15"/>
      <c r="N204" s="19"/>
      <c r="O204" s="12">
        <v>200</v>
      </c>
      <c r="P204" s="12">
        <v>200</v>
      </c>
      <c r="Q204" s="20">
        <f>IF(N204="",0,IF(P204&gt;0,0,IF(N204="A",M204,IF(N204="M",M204*12,IF(N204="W",M204*(Lookups!$B$9),IF(N204="B",M204*(+Lookups!$B$10),IF(N204="S",M204*2,IF(AND(M204=0,P204&gt;0),P204,"ERROR"))))))))</f>
        <v>0</v>
      </c>
      <c r="R204" s="15"/>
      <c r="S204" s="19"/>
      <c r="T204" s="12"/>
      <c r="U204" s="20">
        <f>IF(R204="",0,IF(T204&gt;0,0,IF(S204="A",R204,IF(S204="M",R204*12,IF(S204="W",R204*Lookups!B$9,IF(S204="B",R204*+Lookups!B$10,IF(S204="S",R204*2,IF(AND(R204=0,T204&gt;0),T204,"ERROR"))))))))</f>
        <v>0</v>
      </c>
      <c r="V204" s="130" t="str">
        <f>IF(OR(AND(Q204=0,H204=0),P204&gt;0),"",IF(AND(I204="W",N204="W"),ROUND(Q204-(H204*Lookups!$B$9),0),ROUND(+Q204-L204,0)))</f>
        <v/>
      </c>
      <c r="W204" s="75" t="str">
        <f t="shared" si="17"/>
        <v>E</v>
      </c>
      <c r="X204" s="123" t="str">
        <f t="shared" si="19"/>
        <v/>
      </c>
      <c r="Y204" s="123" t="str">
        <f t="shared" si="18"/>
        <v>Y</v>
      </c>
      <c r="Z204" s="121"/>
    </row>
    <row r="205" spans="1:32" x14ac:dyDescent="0.35">
      <c r="B205" s="21" t="s">
        <v>200</v>
      </c>
      <c r="C205" s="4" t="s">
        <v>201</v>
      </c>
      <c r="D205" s="17">
        <v>1188</v>
      </c>
      <c r="E205" s="15">
        <v>1248</v>
      </c>
      <c r="F205" s="12">
        <v>884</v>
      </c>
      <c r="G205" s="20">
        <f t="shared" si="16"/>
        <v>884</v>
      </c>
      <c r="H205" s="15">
        <v>24</v>
      </c>
      <c r="I205" s="19" t="s">
        <v>41</v>
      </c>
      <c r="J205" s="12">
        <v>1001</v>
      </c>
      <c r="K205" s="12"/>
      <c r="L205" s="20">
        <f>IF(I205="",0,IF(K205&gt;0,0,IF(I205="A",H205,IF(I205="M",H205*12,IF(I205="W",H205*(Lookups!$B$9+1),IF(I205="B",H205*(+Lookups!$B$10),IF(I205="S",H205*2,IF(AND(H205=0,K205&gt;0),K205,"ERROR"))))))))</f>
        <v>1272</v>
      </c>
      <c r="M205" s="15">
        <v>25</v>
      </c>
      <c r="N205" s="19" t="s">
        <v>41</v>
      </c>
      <c r="O205" s="12">
        <v>751</v>
      </c>
      <c r="P205" s="12"/>
      <c r="Q205" s="20">
        <f>IF(N205="",0,IF(P205&gt;0,0,IF(N205="A",M205,IF(N205="M",M205*12,IF(N205="W",M205*(Lookups!$B$9),IF(N205="B",M205*(+Lookups!$B$10),IF(N205="S",M205*2,IF(AND(M205=0,P205&gt;0),P205,"ERROR"))))))))</f>
        <v>1300</v>
      </c>
      <c r="R205" s="15">
        <v>25</v>
      </c>
      <c r="S205" s="19" t="s">
        <v>41</v>
      </c>
      <c r="T205" s="12"/>
      <c r="U205" s="20">
        <f>IF(R205="",0,IF(T205&gt;0,0,IF(S205="A",R205,IF(S205="M",R205*12,IF(S205="W",R205*Lookups!B$9,IF(S205="B",R205*+Lookups!B$10,IF(S205="S",R205*2,IF(AND(R205=0,T205&gt;0),T205,"ERROR"))))))))</f>
        <v>1300</v>
      </c>
      <c r="V205" s="130">
        <f>IF(OR(AND(Q205=0,H205=0),P205&gt;0),"",IF(AND(I205="W",N205="W"),ROUND(Q205-(H205*Lookups!$B$9),0),ROUND(+Q205-L205,0)))</f>
        <v>52</v>
      </c>
      <c r="W205" s="75" t="str">
        <f t="shared" si="17"/>
        <v>I</v>
      </c>
      <c r="X205" s="123" t="str">
        <f t="shared" si="19"/>
        <v>N</v>
      </c>
      <c r="Y205" s="123" t="str">
        <f t="shared" si="18"/>
        <v/>
      </c>
      <c r="Z205" s="121"/>
      <c r="AA205" s="52" t="s">
        <v>605</v>
      </c>
      <c r="AB205" s="53" t="s">
        <v>606</v>
      </c>
      <c r="AC205" s="53" t="s">
        <v>418</v>
      </c>
      <c r="AD205" s="54" t="s">
        <v>395</v>
      </c>
      <c r="AE205" s="55">
        <v>53404</v>
      </c>
    </row>
    <row r="206" spans="1:32" x14ac:dyDescent="0.35">
      <c r="B206" s="21" t="s">
        <v>341</v>
      </c>
      <c r="C206" s="4" t="s">
        <v>669</v>
      </c>
      <c r="D206" s="17">
        <v>2700</v>
      </c>
      <c r="E206" s="15"/>
      <c r="F206" s="12">
        <v>1800</v>
      </c>
      <c r="G206" s="20">
        <f t="shared" ref="G206:G244" si="20">IF(E206=0,F206,IF(AND(F206=0,J206="A"),E206,IF(F206&gt;E206,F206, IF(F206/E206&gt;0.73,E206,F206))))</f>
        <v>1800</v>
      </c>
      <c r="H206" s="15"/>
      <c r="I206" s="19"/>
      <c r="J206" s="12">
        <v>1800</v>
      </c>
      <c r="K206" s="12">
        <v>2000</v>
      </c>
      <c r="L206" s="20">
        <f>IF(I206="",0,IF(K206&gt;0,0,IF(I206="A",H206,IF(I206="M",H206*12,IF(I206="W",H206*(Lookups!$B$9+1),IF(I206="B",H206*(+Lookups!$B$10),IF(I206="S",H206*2,IF(AND(H206=0,K206&gt;0),K206,"ERROR"))))))))</f>
        <v>0</v>
      </c>
      <c r="M206" s="15"/>
      <c r="N206" s="19"/>
      <c r="O206" s="12">
        <v>1600</v>
      </c>
      <c r="P206" s="12">
        <v>2000</v>
      </c>
      <c r="Q206" s="20">
        <f>IF(N206="",0,IF(P206&gt;0,0,IF(N206="A",M206,IF(N206="M",M206*12,IF(N206="W",M206*(Lookups!$B$9),IF(N206="B",M206*(+Lookups!$B$10),IF(N206="S",M206*2,IF(AND(M206=0,P206&gt;0),P206,"ERROR"))))))))</f>
        <v>0</v>
      </c>
      <c r="R206" s="15"/>
      <c r="S206" s="19"/>
      <c r="T206" s="12">
        <v>2000</v>
      </c>
      <c r="U206" s="20">
        <f>IF(R206="",0,IF(T206&gt;0,0,IF(S206="A",R206,IF(S206="M",R206*12,IF(S206="W",R206*Lookups!B$9,IF(S206="B",R206*+Lookups!B$10,IF(S206="S",R206*2,IF(AND(R206=0,T206&gt;0),T206,"ERROR"))))))))</f>
        <v>0</v>
      </c>
      <c r="V206" s="130" t="str">
        <f>IF(OR(AND(Q206=0,H206=0),P206&gt;0),"",IF(AND(I206="W",N206="W"),ROUND(Q206-(H206*Lookups!$B$9),0),ROUND(+Q206-L206,0)))</f>
        <v/>
      </c>
      <c r="W206" s="75" t="str">
        <f t="shared" si="17"/>
        <v>E</v>
      </c>
      <c r="X206" s="123" t="str">
        <f t="shared" si="19"/>
        <v/>
      </c>
      <c r="Y206" s="123" t="str">
        <f t="shared" si="18"/>
        <v>Y</v>
      </c>
      <c r="Z206" s="121"/>
    </row>
    <row r="207" spans="1:32" x14ac:dyDescent="0.35">
      <c r="A207" s="139" t="s">
        <v>638</v>
      </c>
      <c r="B207" s="79" t="s">
        <v>202</v>
      </c>
      <c r="C207" s="80" t="s">
        <v>203</v>
      </c>
      <c r="D207" s="90">
        <v>195</v>
      </c>
      <c r="E207" s="82">
        <v>130</v>
      </c>
      <c r="F207" s="81">
        <v>30</v>
      </c>
      <c r="G207" s="83">
        <f t="shared" si="20"/>
        <v>30</v>
      </c>
      <c r="H207" s="82"/>
      <c r="I207" s="84" t="s">
        <v>41</v>
      </c>
      <c r="J207" s="81"/>
      <c r="K207" s="81"/>
      <c r="L207" s="83">
        <f>IF(I207="",0,IF(K207&gt;0,0,IF(I207="A",H207,IF(I207="M",H207*12,IF(I207="W",H207*(Lookups!$B$9+1),IF(I207="B",H207*(+Lookups!$B$10),IF(I207="S",H207*2,IF(AND(H207=0,K207&gt;0),K207,"ERROR"))))))))</f>
        <v>0</v>
      </c>
      <c r="M207" s="82"/>
      <c r="N207" s="84"/>
      <c r="O207" s="81">
        <v>0</v>
      </c>
      <c r="P207" s="81"/>
      <c r="Q207" s="83">
        <f>IF(N207="",0,IF(P207&gt;0,0,IF(N207="A",M207,IF(N207="M",M207*12,IF(N207="W",M207*(Lookups!$B$9),IF(N207="B",M207*(+Lookups!$B$10),IF(N207="S",M207*2,IF(AND(M207=0,P207&gt;0),P207,"ERROR"))))))))</f>
        <v>0</v>
      </c>
      <c r="R207" s="82"/>
      <c r="S207" s="84"/>
      <c r="T207" s="81"/>
      <c r="U207" s="83">
        <f>IF(R207="",0,IF(T207&gt;0,0,IF(S207="A",R207,IF(S207="M",R207*12,IF(S207="W",R207*Lookups!B$9,IF(S207="B",R207*+Lookups!B$10,IF(S207="S",R207*2,IF(AND(R207=0,T207&gt;0),T207,"ERROR"))))))))</f>
        <v>0</v>
      </c>
      <c r="V207" s="85" t="str">
        <f>IF(OR(AND(Q207=0,H207=0),P207&gt;0),"",IF(AND(I207="W",N207="W"),ROUND(Q207-(H207*Lookups!$B$9),0),ROUND(+Q207-L207,0)))</f>
        <v/>
      </c>
      <c r="W207" s="86" t="str">
        <f t="shared" si="17"/>
        <v/>
      </c>
      <c r="X207" s="123" t="str">
        <f t="shared" si="19"/>
        <v/>
      </c>
      <c r="Y207" s="123" t="str">
        <f t="shared" si="18"/>
        <v/>
      </c>
      <c r="Z207" s="124"/>
      <c r="AA207" s="87" t="s">
        <v>505</v>
      </c>
      <c r="AB207" s="87"/>
      <c r="AC207" s="87"/>
      <c r="AD207" s="88"/>
      <c r="AE207" s="89"/>
    </row>
    <row r="208" spans="1:32" x14ac:dyDescent="0.35">
      <c r="A208" s="139" t="s">
        <v>638</v>
      </c>
      <c r="B208" s="21" t="s">
        <v>342</v>
      </c>
      <c r="C208" s="4" t="s">
        <v>343</v>
      </c>
      <c r="D208" s="17">
        <v>1200</v>
      </c>
      <c r="E208" s="15"/>
      <c r="F208" s="12">
        <v>1075</v>
      </c>
      <c r="G208" s="20">
        <f t="shared" si="20"/>
        <v>1075</v>
      </c>
      <c r="H208" s="15"/>
      <c r="I208" s="19"/>
      <c r="J208" s="12">
        <v>100</v>
      </c>
      <c r="K208" s="12">
        <v>1200</v>
      </c>
      <c r="L208" s="20">
        <f>IF(I208="",0,IF(K208&gt;0,0,IF(I208="A",H208,IF(I208="M",H208*12,IF(I208="W",H208*(Lookups!$B$9+1),IF(I208="B",H208*(+Lookups!$B$10),IF(I208="S",H208*2,IF(AND(H208=0,K208&gt;0),K208,"ERROR"))))))))</f>
        <v>0</v>
      </c>
      <c r="M208" s="15"/>
      <c r="N208" s="19"/>
      <c r="O208" s="12">
        <v>0</v>
      </c>
      <c r="P208" s="12"/>
      <c r="Q208" s="20">
        <f>IF(N208="",0,IF(P208&gt;0,0,IF(N208="A",M208,IF(N208="M",M208*12,IF(N208="W",M208*(Lookups!$B$9),IF(N208="B",M208*(+Lookups!$B$10),IF(N208="S",M208*2,IF(AND(M208=0,P208&gt;0),P208,"ERROR"))))))))</f>
        <v>0</v>
      </c>
      <c r="R208" s="15"/>
      <c r="S208" s="19"/>
      <c r="T208" s="12"/>
      <c r="U208" s="20">
        <f>IF(R208="",0,IF(T208&gt;0,0,IF(S208="A",R208,IF(S208="M",R208*12,IF(S208="W",R208*Lookups!B$9,IF(S208="B",R208*+Lookups!B$10,IF(S208="S",R208*2,IF(AND(R208=0,T208&gt;0),T208,"ERROR"))))))))</f>
        <v>0</v>
      </c>
      <c r="V208" s="130" t="str">
        <f>IF(OR(AND(Q208=0,H208=0),P208&gt;0),"",IF(AND(I208="W",N208="W"),ROUND(Q208-(H208*Lookups!$B$9),0),ROUND(+Q208-L208,0)))</f>
        <v/>
      </c>
      <c r="W208" s="75" t="str">
        <f t="shared" si="17"/>
        <v/>
      </c>
      <c r="X208" s="123" t="str">
        <f t="shared" si="19"/>
        <v/>
      </c>
      <c r="Y208" s="123" t="str">
        <f t="shared" si="18"/>
        <v/>
      </c>
      <c r="Z208" s="121"/>
    </row>
    <row r="209" spans="1:31" x14ac:dyDescent="0.35">
      <c r="A209" s="139" t="s">
        <v>638</v>
      </c>
      <c r="B209" s="21" t="s">
        <v>344</v>
      </c>
      <c r="C209" s="4" t="s">
        <v>166</v>
      </c>
      <c r="D209" s="17">
        <v>1400</v>
      </c>
      <c r="E209" s="15"/>
      <c r="F209" s="12"/>
      <c r="G209" s="20">
        <f t="shared" si="20"/>
        <v>0</v>
      </c>
      <c r="H209" s="15"/>
      <c r="I209" s="19"/>
      <c r="J209" s="12"/>
      <c r="K209" s="12"/>
      <c r="L209" s="20">
        <f>IF(I209="",0,IF(K209&gt;0,0,IF(I209="A",H209,IF(I209="M",H209*12,IF(I209="W",H209*(Lookups!$B$9+1),IF(I209="B",H209*(+Lookups!$B$10),IF(I209="S",H209*2,IF(AND(H209=0,K209&gt;0),K209,"ERROR"))))))))</f>
        <v>0</v>
      </c>
      <c r="M209" s="15"/>
      <c r="N209" s="19"/>
      <c r="O209" s="12">
        <v>0</v>
      </c>
      <c r="P209" s="12"/>
      <c r="Q209" s="20">
        <f>IF(N209="",0,IF(P209&gt;0,0,IF(N209="A",M209,IF(N209="M",M209*12,IF(N209="W",M209*(Lookups!$B$9),IF(N209="B",M209*(+Lookups!$B$10),IF(N209="S",M209*2,IF(AND(M209=0,P209&gt;0),P209,"ERROR"))))))))</f>
        <v>0</v>
      </c>
      <c r="R209" s="15"/>
      <c r="S209" s="19"/>
      <c r="T209" s="12"/>
      <c r="U209" s="20">
        <f>IF(R209="",0,IF(T209&gt;0,0,IF(S209="A",R209,IF(S209="M",R209*12,IF(S209="W",R209*Lookups!B$9,IF(S209="B",R209*+Lookups!B$10,IF(S209="S",R209*2,IF(AND(R209=0,T209&gt;0),T209,"ERROR"))))))))</f>
        <v>0</v>
      </c>
      <c r="V209" s="130" t="str">
        <f>IF(OR(AND(Q209=0,H209=0),P209&gt;0),"",IF(AND(I209="W",N209="W"),ROUND(Q209-(H209*Lookups!$B$9),0),ROUND(+Q209-L209,0)))</f>
        <v/>
      </c>
      <c r="W209" s="75" t="str">
        <f t="shared" si="17"/>
        <v/>
      </c>
      <c r="X209" s="123" t="str">
        <f t="shared" si="19"/>
        <v/>
      </c>
      <c r="Y209" s="123" t="str">
        <f t="shared" si="18"/>
        <v/>
      </c>
      <c r="Z209" s="121"/>
    </row>
    <row r="210" spans="1:31" x14ac:dyDescent="0.35">
      <c r="B210" s="21" t="s">
        <v>670</v>
      </c>
      <c r="C210" s="4" t="s">
        <v>671</v>
      </c>
      <c r="D210" s="17"/>
      <c r="E210" s="15"/>
      <c r="F210" s="12"/>
      <c r="G210" s="20"/>
      <c r="H210" s="15"/>
      <c r="I210" s="19"/>
      <c r="J210" s="12"/>
      <c r="K210" s="12"/>
      <c r="L210" s="20"/>
      <c r="M210" s="15"/>
      <c r="N210" s="19"/>
      <c r="O210" s="12">
        <v>1650</v>
      </c>
      <c r="P210" s="12">
        <v>2200</v>
      </c>
      <c r="Q210" s="20">
        <f>IF(N210="",0,IF(P210&gt;0,0,IF(N210="A",M210,IF(N210="M",M210*12,IF(N210="W",M210*(Lookups!$B$9),IF(N210="B",M210*(+Lookups!$B$10),IF(N210="S",M210*2,IF(AND(M210=0,P210&gt;0),P210,"ERROR"))))))))</f>
        <v>0</v>
      </c>
      <c r="R210" s="15"/>
      <c r="S210" s="19"/>
      <c r="T210" s="12"/>
      <c r="U210" s="20">
        <f>IF(R210="",0,IF(T210&gt;0,0,IF(S210="A",R210,IF(S210="M",R210*12,IF(S210="W",R210*Lookups!B$9,IF(S210="B",R210*+Lookups!B$10,IF(S210="S",R210*2,IF(AND(R210=0,T210&gt;0),T210,"ERROR"))))))))</f>
        <v>0</v>
      </c>
      <c r="V210" s="130" t="str">
        <f>IF(OR(AND(Q210=0,H210=0),P210&gt;0),"",IF(AND(I210="W",N210="W"),ROUND(Q210-(H210*Lookups!$B$9),0),ROUND(+Q210-L210,0)))</f>
        <v/>
      </c>
      <c r="W210" s="75" t="str">
        <f t="shared" si="17"/>
        <v>E</v>
      </c>
      <c r="X210" s="123" t="str">
        <f t="shared" si="19"/>
        <v/>
      </c>
      <c r="Y210" s="123" t="str">
        <f t="shared" si="18"/>
        <v>Y</v>
      </c>
      <c r="Z210" s="121"/>
    </row>
    <row r="211" spans="1:31" x14ac:dyDescent="0.35">
      <c r="B211" s="21" t="s">
        <v>670</v>
      </c>
      <c r="C211" s="4" t="s">
        <v>672</v>
      </c>
      <c r="D211" s="17"/>
      <c r="E211" s="15"/>
      <c r="F211" s="12"/>
      <c r="G211" s="20"/>
      <c r="H211" s="15"/>
      <c r="I211" s="19"/>
      <c r="J211" s="12"/>
      <c r="K211" s="12"/>
      <c r="L211" s="20"/>
      <c r="M211" s="15"/>
      <c r="N211" s="19"/>
      <c r="O211" s="12">
        <v>122</v>
      </c>
      <c r="P211" s="12">
        <v>122</v>
      </c>
      <c r="Q211" s="20">
        <f>IF(N211="",0,IF(P211&gt;0,0,IF(N211="A",M211,IF(N211="M",M211*12,IF(N211="W",M211*(Lookups!$B$9),IF(N211="B",M211*(+Lookups!$B$10),IF(N211="S",M211*2,IF(AND(M211=0,P211&gt;0),P211,"ERROR"))))))))</f>
        <v>0</v>
      </c>
      <c r="R211" s="15"/>
      <c r="S211" s="19"/>
      <c r="T211" s="12"/>
      <c r="U211" s="20">
        <f>IF(R211="",0,IF(T211&gt;0,0,IF(S211="A",R211,IF(S211="M",R211*12,IF(S211="W",R211*Lookups!B$9,IF(S211="B",R211*+Lookups!B$10,IF(S211="S",R211*2,IF(AND(R211=0,T211&gt;0),T211,"ERROR"))))))))</f>
        <v>0</v>
      </c>
      <c r="V211" s="130" t="str">
        <f>IF(OR(AND(Q211=0,H211=0),P211&gt;0),"",IF(AND(I211="W",N211="W"),ROUND(Q211-(H211*Lookups!$B$9),0),ROUND(+Q211-L211,0)))</f>
        <v/>
      </c>
      <c r="W211" s="75" t="str">
        <f t="shared" si="17"/>
        <v>E</v>
      </c>
      <c r="X211" s="123" t="str">
        <f t="shared" si="19"/>
        <v/>
      </c>
      <c r="Y211" s="123" t="str">
        <f t="shared" si="18"/>
        <v>Y</v>
      </c>
      <c r="Z211" s="121"/>
    </row>
    <row r="212" spans="1:31" x14ac:dyDescent="0.35">
      <c r="B212" s="21" t="s">
        <v>345</v>
      </c>
      <c r="C212" s="4" t="s">
        <v>346</v>
      </c>
      <c r="D212" s="17">
        <v>110</v>
      </c>
      <c r="E212" s="15"/>
      <c r="F212" s="12">
        <v>60</v>
      </c>
      <c r="G212" s="20">
        <f t="shared" si="20"/>
        <v>60</v>
      </c>
      <c r="H212" s="15"/>
      <c r="I212" s="19"/>
      <c r="J212" s="12">
        <v>95</v>
      </c>
      <c r="K212" s="12"/>
      <c r="L212" s="20">
        <f>IF(I212="",0,IF(K212&gt;0,0,IF(I212="A",H212,IF(I212="M",H212*12,IF(I212="W",H212*(Lookups!$B$9+1),IF(I212="B",H212*(+Lookups!$B$10),IF(I212="S",H212*2,IF(AND(H212=0,K212&gt;0),K212,"ERROR"))))))))</f>
        <v>0</v>
      </c>
      <c r="M212" s="15"/>
      <c r="N212" s="19"/>
      <c r="O212" s="12">
        <v>80</v>
      </c>
      <c r="P212" s="12">
        <v>80</v>
      </c>
      <c r="Q212" s="20">
        <f>IF(N212="",0,IF(P212&gt;0,0,IF(N212="A",M212,IF(N212="M",M212*12,IF(N212="W",M212*(Lookups!$B$9),IF(N212="B",M212*(+Lookups!$B$10),IF(N212="S",M212*2,IF(AND(M212=0,P212&gt;0),P212,"ERROR"))))))))</f>
        <v>0</v>
      </c>
      <c r="R212" s="15"/>
      <c r="S212" s="19"/>
      <c r="T212" s="12"/>
      <c r="U212" s="20">
        <f>IF(R212="",0,IF(T212&gt;0,0,IF(S212="A",R212,IF(S212="M",R212*12,IF(S212="W",R212*Lookups!B$9,IF(S212="B",R212*+Lookups!B$10,IF(S212="S",R212*2,IF(AND(R212=0,T212&gt;0),T212,"ERROR"))))))))</f>
        <v>0</v>
      </c>
      <c r="V212" s="130" t="str">
        <f>IF(OR(AND(Q212=0,H212=0),P212&gt;0),"",IF(AND(I212="W",N212="W"),ROUND(Q212-(H212*Lookups!$B$9),0),ROUND(+Q212-L212,0)))</f>
        <v/>
      </c>
      <c r="W212" s="75" t="str">
        <f t="shared" si="17"/>
        <v>E</v>
      </c>
      <c r="X212" s="123" t="str">
        <f t="shared" si="19"/>
        <v/>
      </c>
      <c r="Y212" s="123" t="str">
        <f t="shared" si="18"/>
        <v>Y</v>
      </c>
      <c r="Z212" s="121"/>
    </row>
    <row r="213" spans="1:31" x14ac:dyDescent="0.35">
      <c r="B213" s="134" t="s">
        <v>204</v>
      </c>
      <c r="C213" s="4" t="s">
        <v>205</v>
      </c>
      <c r="D213" s="17">
        <v>2600</v>
      </c>
      <c r="E213" s="15">
        <v>2912</v>
      </c>
      <c r="F213" s="12">
        <v>2184</v>
      </c>
      <c r="G213" s="20">
        <f t="shared" si="20"/>
        <v>2912</v>
      </c>
      <c r="H213" s="15">
        <v>260</v>
      </c>
      <c r="I213" s="19" t="s">
        <v>42</v>
      </c>
      <c r="J213" s="12">
        <v>2340</v>
      </c>
      <c r="K213" s="12"/>
      <c r="L213" s="20">
        <f>IF(I213="",0,IF(K213&gt;0,0,IF(I213="A",H213,IF(I213="M",H213*12,IF(I213="W",H213*(Lookups!$B$9+1),IF(I213="B",H213*(+Lookups!$B$10),IF(I213="S",H213*2,IF(AND(H213=0,K213&gt;0),K213,"ERROR"))))))))</f>
        <v>3120</v>
      </c>
      <c r="M213" s="15">
        <v>255</v>
      </c>
      <c r="N213" s="19" t="s">
        <v>42</v>
      </c>
      <c r="O213" s="12">
        <v>1860</v>
      </c>
      <c r="P213" s="12"/>
      <c r="Q213" s="20">
        <f>IF(N213="",0,IF(P213&gt;0,0,IF(N213="A",M213,IF(N213="M",M213*12,IF(N213="W",M213*(Lookups!$B$9),IF(N213="B",M213*(+Lookups!$B$10),IF(N213="S",M213*2,IF(AND(M213=0,P213&gt;0),P213,"ERROR"))))))))</f>
        <v>3060</v>
      </c>
      <c r="R213" s="15"/>
      <c r="S213" s="19"/>
      <c r="T213" s="12">
        <f>260*12</f>
        <v>3120</v>
      </c>
      <c r="U213" s="20">
        <f>IF(R213="",0,IF(T213&gt;0,0,IF(S213="A",R213,IF(S213="M",R213*12,IF(S213="W",R213*Lookups!B$9,IF(S213="B",R213*+Lookups!B$10,IF(S213="S",R213*2,IF(AND(R213=0,T213&gt;0),T213,"ERROR"))))))))</f>
        <v>0</v>
      </c>
      <c r="V213" s="130">
        <f>IF(OR(AND(Q213=0,H213=0),P213&gt;0),"",IF(AND(I213="W",N213="W"),ROUND(Q213-(H213*Lookups!$B$9),0),ROUND(+Q213-L213,0)))</f>
        <v>-60</v>
      </c>
      <c r="W213" s="75" t="str">
        <f t="shared" si="17"/>
        <v>D</v>
      </c>
      <c r="X213" s="123" t="str">
        <f t="shared" si="19"/>
        <v>N</v>
      </c>
      <c r="Y213" s="123" t="str">
        <f t="shared" si="18"/>
        <v/>
      </c>
      <c r="Z213" s="121"/>
      <c r="AA213" s="52" t="s">
        <v>489</v>
      </c>
      <c r="AB213" s="53" t="s">
        <v>490</v>
      </c>
      <c r="AC213" s="53" t="s">
        <v>418</v>
      </c>
      <c r="AD213" s="54" t="s">
        <v>395</v>
      </c>
      <c r="AE213" s="55">
        <v>53405</v>
      </c>
    </row>
    <row r="214" spans="1:31" x14ac:dyDescent="0.35">
      <c r="B214" s="21" t="s">
        <v>206</v>
      </c>
      <c r="C214" s="4" t="s">
        <v>207</v>
      </c>
      <c r="D214" s="17">
        <v>1620</v>
      </c>
      <c r="E214" s="15">
        <v>1680</v>
      </c>
      <c r="F214" s="12">
        <v>1260</v>
      </c>
      <c r="G214" s="20">
        <f t="shared" si="20"/>
        <v>1680</v>
      </c>
      <c r="H214" s="15">
        <v>140</v>
      </c>
      <c r="I214" s="19" t="s">
        <v>42</v>
      </c>
      <c r="J214" s="12">
        <v>1260</v>
      </c>
      <c r="K214" s="12"/>
      <c r="L214" s="20">
        <f>IF(I214="",0,IF(K214&gt;0,0,IF(I214="A",H214,IF(I214="M",H214*12,IF(I214="W",H214*(Lookups!$B$9+1),IF(I214="B",H214*(+Lookups!$B$10),IF(I214="S",H214*2,IF(AND(H214=0,K214&gt;0),K214,"ERROR"))))))))</f>
        <v>1680</v>
      </c>
      <c r="M214" s="15">
        <v>145</v>
      </c>
      <c r="N214" s="19" t="s">
        <v>42</v>
      </c>
      <c r="O214" s="12">
        <v>1170</v>
      </c>
      <c r="P214" s="12"/>
      <c r="Q214" s="20">
        <f>IF(N214="",0,IF(P214&gt;0,0,IF(N214="A",M214,IF(N214="M",M214*12,IF(N214="W",M214*(Lookups!$B$9),IF(N214="B",M214*(+Lookups!$B$10),IF(N214="S",M214*2,IF(AND(M214=0,P214&gt;0),P214,"ERROR"))))))))</f>
        <v>1740</v>
      </c>
      <c r="R214" s="15">
        <v>145</v>
      </c>
      <c r="S214" s="19" t="s">
        <v>42</v>
      </c>
      <c r="T214" s="12"/>
      <c r="U214" s="20">
        <f>IF(R214="",0,IF(T214&gt;0,0,IF(S214="A",R214,IF(S214="M",R214*12,IF(S214="W",R214*Lookups!B$9,IF(S214="B",R214*+Lookups!B$10,IF(S214="S",R214*2,IF(AND(R214=0,T214&gt;0),T214,"ERROR"))))))))</f>
        <v>1740</v>
      </c>
      <c r="V214" s="130">
        <f>IF(OR(AND(Q214=0,H214=0),P214&gt;0),"",IF(AND(I214="W",N214="W"),ROUND(Q214-(H214*Lookups!$B$9),0),ROUND(+Q214-L214,0)))</f>
        <v>60</v>
      </c>
      <c r="W214" s="75" t="str">
        <f t="shared" si="17"/>
        <v>I</v>
      </c>
      <c r="X214" s="123" t="str">
        <f t="shared" si="19"/>
        <v>N</v>
      </c>
      <c r="Y214" s="123" t="str">
        <f t="shared" si="18"/>
        <v/>
      </c>
      <c r="Z214" s="121"/>
      <c r="AB214" s="53" t="s">
        <v>607</v>
      </c>
      <c r="AC214" s="53" t="s">
        <v>418</v>
      </c>
      <c r="AD214" s="54" t="s">
        <v>395</v>
      </c>
      <c r="AE214" s="55">
        <v>53402</v>
      </c>
    </row>
    <row r="215" spans="1:31" x14ac:dyDescent="0.35">
      <c r="B215" s="21" t="s">
        <v>673</v>
      </c>
      <c r="C215" s="4" t="s">
        <v>312</v>
      </c>
      <c r="D215" s="17"/>
      <c r="E215" s="15"/>
      <c r="F215" s="12"/>
      <c r="G215" s="20"/>
      <c r="H215" s="15"/>
      <c r="I215" s="19"/>
      <c r="J215" s="12"/>
      <c r="K215" s="12"/>
      <c r="L215" s="20"/>
      <c r="M215" s="15"/>
      <c r="N215" s="19"/>
      <c r="O215" s="12">
        <v>350</v>
      </c>
      <c r="P215" s="12">
        <v>350</v>
      </c>
      <c r="Q215" s="20">
        <f>IF(N215="",0,IF(P215&gt;0,0,IF(N215="A",M215,IF(N215="M",M215*12,IF(N215="W",M215*(Lookups!$B$9),IF(N215="B",M215*(+Lookups!$B$10),IF(N215="S",M215*2,IF(AND(M215=0,P215&gt;0),P215,"ERROR"))))))))</f>
        <v>0</v>
      </c>
      <c r="R215" s="15"/>
      <c r="S215" s="19"/>
      <c r="T215" s="12"/>
      <c r="U215" s="20">
        <f>IF(R215="",0,IF(T215&gt;0,0,IF(S215="A",R215,IF(S215="M",R215*12,IF(S215="W",R215*Lookups!B$9,IF(S215="B",R215*+Lookups!B$10,IF(S215="S",R215*2,IF(AND(R215=0,T215&gt;0),T215,"ERROR"))))))))</f>
        <v>0</v>
      </c>
      <c r="V215" s="130" t="str">
        <f>IF(OR(AND(Q215=0,H215=0),P215&gt;0),"",IF(AND(I215="W",N215="W"),ROUND(Q215-(H215*Lookups!$B$9),0),ROUND(+Q215-L215,0)))</f>
        <v/>
      </c>
      <c r="W215" s="75" t="str">
        <f t="shared" si="17"/>
        <v>E</v>
      </c>
      <c r="X215" s="123" t="str">
        <f t="shared" si="19"/>
        <v/>
      </c>
      <c r="Y215" s="123" t="str">
        <f t="shared" si="18"/>
        <v>Y</v>
      </c>
      <c r="Z215" s="121"/>
    </row>
    <row r="216" spans="1:31" x14ac:dyDescent="0.35">
      <c r="B216" s="21" t="s">
        <v>208</v>
      </c>
      <c r="C216" s="4" t="s">
        <v>19</v>
      </c>
      <c r="D216" s="17">
        <v>16900</v>
      </c>
      <c r="E216" s="15">
        <v>17750</v>
      </c>
      <c r="F216" s="12"/>
      <c r="G216" s="20"/>
      <c r="H216" s="15"/>
      <c r="I216" s="19" t="s">
        <v>38</v>
      </c>
      <c r="J216" s="12">
        <v>10000</v>
      </c>
      <c r="K216" s="12">
        <v>17000</v>
      </c>
      <c r="L216" s="20">
        <f>IF(I216="",0,IF(K216&gt;0,0,IF(I216="A",H216,IF(I216="M",H216*12,IF(I216="W",H216*(Lookups!$B$9+1),IF(I216="B",H216*(+Lookups!$B$10),IF(I216="S",H216*2,IF(AND(H216=0,K216&gt;0),K216,"ERROR"))))))))</f>
        <v>0</v>
      </c>
      <c r="M216" s="15">
        <v>10000</v>
      </c>
      <c r="N216" s="19" t="s">
        <v>38</v>
      </c>
      <c r="O216" s="12">
        <v>15000</v>
      </c>
      <c r="P216" s="12">
        <v>15000</v>
      </c>
      <c r="Q216" s="20">
        <f>IF(N216="",0,IF(P216&gt;0,0,IF(N216="A",M216,IF(N216="M",M216*12,IF(N216="W",M216*(Lookups!$B$9),IF(N216="B",M216*(+Lookups!$B$10),IF(N216="S",M216*2,IF(AND(M216=0,P216&gt;0),P216,"ERROR"))))))))</f>
        <v>0</v>
      </c>
      <c r="R216" s="15">
        <v>10000</v>
      </c>
      <c r="S216" s="19" t="s">
        <v>38</v>
      </c>
      <c r="T216" s="12"/>
      <c r="U216" s="20">
        <f>IF(R216="",0,IF(T216&gt;0,0,IF(S216="A",R216,IF(S216="M",R216*12,IF(S216="W",R216*Lookups!B$9,IF(S216="B",R216*+Lookups!B$10,IF(S216="S",R216*2,IF(AND(R216=0,T216&gt;0),T216,"ERROR"))))))))</f>
        <v>10000</v>
      </c>
      <c r="V216" s="130" t="str">
        <f>IF(OR(AND(Q216=0,H216=0),P216&gt;0),"",IF(AND(I216="W",N216="W"),ROUND(Q216-(H216*Lookups!$B$9),0),ROUND(+Q216-L216,0)))</f>
        <v/>
      </c>
      <c r="W216" s="75" t="str">
        <f t="shared" si="17"/>
        <v>E</v>
      </c>
      <c r="X216" s="123" t="str">
        <f t="shared" si="19"/>
        <v/>
      </c>
      <c r="Y216" s="123" t="str">
        <f t="shared" si="18"/>
        <v>Y</v>
      </c>
      <c r="Z216" s="121"/>
      <c r="AA216" s="52" t="s">
        <v>608</v>
      </c>
      <c r="AB216" s="53" t="s">
        <v>609</v>
      </c>
      <c r="AC216" s="53" t="s">
        <v>559</v>
      </c>
      <c r="AD216" s="54" t="s">
        <v>395</v>
      </c>
      <c r="AE216" s="55">
        <v>53406</v>
      </c>
    </row>
    <row r="217" spans="1:31" x14ac:dyDescent="0.35">
      <c r="A217" s="139" t="s">
        <v>638</v>
      </c>
      <c r="B217" s="21" t="s">
        <v>209</v>
      </c>
      <c r="C217" s="4" t="s">
        <v>377</v>
      </c>
      <c r="D217" s="17"/>
      <c r="E217" s="15"/>
      <c r="F217" s="12">
        <v>15</v>
      </c>
      <c r="G217" s="20">
        <f t="shared" ref="G217:G243" si="21">IF(E217=0,F217,IF(AND(F217=0,J217="A"),E217,IF(F217&gt;E217,F217, IF(F217/E217&gt;0.73,E217,F217))))</f>
        <v>15</v>
      </c>
      <c r="H217" s="15"/>
      <c r="I217" s="19"/>
      <c r="J217" s="12"/>
      <c r="K217" s="12"/>
      <c r="L217" s="20">
        <f>IF(I217="",0,IF(K217&gt;0,0,IF(I217="A",H217,IF(I217="M",H217*12,IF(I217="W",H217*(Lookups!$B$9+1),IF(I217="B",H217*(+Lookups!$B$10),IF(I217="S",H217*2,IF(AND(H217=0,K217&gt;0),K217,"ERROR"))))))))</f>
        <v>0</v>
      </c>
      <c r="M217" s="15"/>
      <c r="N217" s="19"/>
      <c r="O217" s="12">
        <v>0</v>
      </c>
      <c r="P217" s="12"/>
      <c r="Q217" s="20">
        <f>IF(N217="",0,IF(P217&gt;0,0,IF(N217="A",M217,IF(N217="M",M217*12,IF(N217="W",M217*(Lookups!$B$9),IF(N217="B",M217*(+Lookups!$B$10),IF(N217="S",M217*2,IF(AND(M217=0,P217&gt;0),P217,"ERROR"))))))))</f>
        <v>0</v>
      </c>
      <c r="R217" s="15"/>
      <c r="S217" s="19"/>
      <c r="T217" s="12"/>
      <c r="U217" s="20">
        <f>IF(R217="",0,IF(T217&gt;0,0,IF(S217="A",R217,IF(S217="M",R217*12,IF(S217="W",R217*Lookups!B$9,IF(S217="B",R217*+Lookups!B$10,IF(S217="S",R217*2,IF(AND(R217=0,T217&gt;0),T217,"ERROR"))))))))</f>
        <v>0</v>
      </c>
      <c r="V217" s="130" t="str">
        <f>IF(OR(AND(Q217=0,H217=0),P217&gt;0),"",IF(AND(I217="W",N217="W"),ROUND(Q217-(H217*Lookups!$B$9),0),ROUND(+Q217-L217,0)))</f>
        <v/>
      </c>
      <c r="W217" s="75" t="str">
        <f t="shared" si="17"/>
        <v/>
      </c>
      <c r="X217" s="123" t="str">
        <f t="shared" si="19"/>
        <v/>
      </c>
      <c r="Y217" s="123" t="str">
        <f t="shared" si="18"/>
        <v/>
      </c>
      <c r="Z217" s="121"/>
    </row>
    <row r="218" spans="1:31" x14ac:dyDescent="0.35">
      <c r="B218" s="21" t="s">
        <v>209</v>
      </c>
      <c r="C218" s="4" t="s">
        <v>210</v>
      </c>
      <c r="D218" s="17">
        <v>1500</v>
      </c>
      <c r="E218" s="15">
        <v>1500</v>
      </c>
      <c r="F218" s="12">
        <v>1000</v>
      </c>
      <c r="G218" s="20">
        <f t="shared" si="21"/>
        <v>1000</v>
      </c>
      <c r="H218" s="15"/>
      <c r="I218" s="19" t="s">
        <v>42</v>
      </c>
      <c r="J218" s="12">
        <v>1300</v>
      </c>
      <c r="K218" s="12">
        <v>1000</v>
      </c>
      <c r="L218" s="20">
        <f>IF(I218="",0,IF(K218&gt;0,0,IF(I218="A",H218,IF(I218="M",H218*12,IF(I218="W",H218*(Lookups!$B$9+1),IF(I218="B",H218*(+Lookups!$B$10),IF(I218="S",H218*2,IF(AND(H218=0,K218&gt;0),K218,"ERROR"))))))))</f>
        <v>0</v>
      </c>
      <c r="M218" s="15">
        <v>1500</v>
      </c>
      <c r="N218" s="19" t="s">
        <v>38</v>
      </c>
      <c r="O218" s="12">
        <v>1150</v>
      </c>
      <c r="P218" s="12"/>
      <c r="Q218" s="20">
        <f>IF(N218="",0,IF(P218&gt;0,0,IF(N218="A",M218,IF(N218="M",M218*12,IF(N218="W",M218*(Lookups!$B$9),IF(N218="B",M218*(+Lookups!$B$10),IF(N218="S",M218*2,IF(AND(M218=0,P218&gt;0),P218,"ERROR"))))))))</f>
        <v>1500</v>
      </c>
      <c r="R218" s="15"/>
      <c r="S218" s="19"/>
      <c r="T218" s="12">
        <v>1300</v>
      </c>
      <c r="U218" s="20">
        <f>IF(R218="",0,IF(T218&gt;0,0,IF(S218="A",R218,IF(S218="M",R218*12,IF(S218="W",R218*Lookups!B$9,IF(S218="B",R218*+Lookups!B$10,IF(S218="S",R218*2,IF(AND(R218=0,T218&gt;0),T218,"ERROR"))))))))</f>
        <v>0</v>
      </c>
      <c r="V218" s="130">
        <f>IF(OR(AND(Q218=0,H218=0),P218&gt;0),"",IF(AND(I218="W",N218="W"),ROUND(Q218-(H218*Lookups!$B$9),0),ROUND(+Q218-L218,0)))</f>
        <v>1500</v>
      </c>
      <c r="W218" s="75" t="str">
        <f t="shared" si="17"/>
        <v>N</v>
      </c>
      <c r="X218" s="123" t="str">
        <f t="shared" si="19"/>
        <v>N</v>
      </c>
      <c r="Y218" s="123" t="str">
        <f t="shared" si="18"/>
        <v/>
      </c>
      <c r="Z218" s="121"/>
    </row>
    <row r="219" spans="1:31" x14ac:dyDescent="0.35">
      <c r="A219" s="139" t="s">
        <v>638</v>
      </c>
      <c r="B219" s="21" t="s">
        <v>209</v>
      </c>
      <c r="C219" s="4" t="s">
        <v>378</v>
      </c>
      <c r="D219" s="17"/>
      <c r="E219" s="15"/>
      <c r="F219" s="12">
        <v>5</v>
      </c>
      <c r="G219" s="20">
        <f t="shared" si="21"/>
        <v>5</v>
      </c>
      <c r="H219" s="15"/>
      <c r="I219" s="19"/>
      <c r="J219" s="12"/>
      <c r="K219" s="12"/>
      <c r="L219" s="20">
        <f>IF(I219="",0,IF(K219&gt;0,0,IF(I219="A",H219,IF(I219="M",H219*12,IF(I219="W",H219*(Lookups!$B$9+1),IF(I219="B",H219*(+Lookups!$B$10),IF(I219="S",H219*2,IF(AND(H219=0,K219&gt;0),K219,"ERROR"))))))))</f>
        <v>0</v>
      </c>
      <c r="M219" s="15"/>
      <c r="N219" s="19"/>
      <c r="O219" s="12">
        <v>0</v>
      </c>
      <c r="P219" s="12"/>
      <c r="Q219" s="20">
        <f>IF(N219="",0,IF(P219&gt;0,0,IF(N219="A",M219,IF(N219="M",M219*12,IF(N219="W",M219*(Lookups!$B$9),IF(N219="B",M219*(+Lookups!$B$10),IF(N219="S",M219*2,IF(AND(M219=0,P219&gt;0),P219,"ERROR"))))))))</f>
        <v>0</v>
      </c>
      <c r="R219" s="15"/>
      <c r="S219" s="19"/>
      <c r="T219" s="12"/>
      <c r="U219" s="20">
        <f>IF(R219="",0,IF(T219&gt;0,0,IF(S219="A",R219,IF(S219="M",R219*12,IF(S219="W",R219*Lookups!B$9,IF(S219="B",R219*+Lookups!B$10,IF(S219="S",R219*2,IF(AND(R219=0,T219&gt;0),T219,"ERROR"))))))))</f>
        <v>0</v>
      </c>
      <c r="V219" s="130" t="str">
        <f>IF(OR(AND(Q219=0,H219=0),P219&gt;0),"",IF(AND(I219="W",N219="W"),ROUND(Q219-(H219*Lookups!$B$9),0),ROUND(+Q219-L219,0)))</f>
        <v/>
      </c>
      <c r="W219" s="75" t="str">
        <f t="shared" si="17"/>
        <v/>
      </c>
      <c r="X219" s="123" t="str">
        <f t="shared" si="19"/>
        <v/>
      </c>
      <c r="Y219" s="123" t="str">
        <f t="shared" si="18"/>
        <v/>
      </c>
      <c r="Z219" s="121"/>
    </row>
    <row r="220" spans="1:31" x14ac:dyDescent="0.35">
      <c r="A220" s="139" t="s">
        <v>638</v>
      </c>
      <c r="B220" s="21" t="s">
        <v>347</v>
      </c>
      <c r="C220" s="4" t="s">
        <v>348</v>
      </c>
      <c r="D220" s="17">
        <v>50</v>
      </c>
      <c r="E220" s="15"/>
      <c r="F220" s="12"/>
      <c r="G220" s="20">
        <f t="shared" si="21"/>
        <v>0</v>
      </c>
      <c r="H220" s="15"/>
      <c r="I220" s="19"/>
      <c r="J220" s="12"/>
      <c r="K220" s="12"/>
      <c r="L220" s="20">
        <f>IF(I220="",0,IF(K220&gt;0,0,IF(I220="A",H220,IF(I220="M",H220*12,IF(I220="W",H220*(Lookups!$B$9+1),IF(I220="B",H220*(+Lookups!$B$10),IF(I220="S",H220*2,IF(AND(H220=0,K220&gt;0),K220,"ERROR"))))))))</f>
        <v>0</v>
      </c>
      <c r="M220" s="15"/>
      <c r="N220" s="19"/>
      <c r="O220" s="12">
        <v>0</v>
      </c>
      <c r="P220" s="12"/>
      <c r="Q220" s="20">
        <f>IF(N220="",0,IF(P220&gt;0,0,IF(N220="A",M220,IF(N220="M",M220*12,IF(N220="W",M220*(Lookups!$B$9),IF(N220="B",M220*(+Lookups!$B$10),IF(N220="S",M220*2,IF(AND(M220=0,P220&gt;0),P220,"ERROR"))))))))</f>
        <v>0</v>
      </c>
      <c r="R220" s="15"/>
      <c r="S220" s="19"/>
      <c r="T220" s="12"/>
      <c r="U220" s="20">
        <f>IF(R220="",0,IF(T220&gt;0,0,IF(S220="A",R220,IF(S220="M",R220*12,IF(S220="W",R220*Lookups!B$9,IF(S220="B",R220*+Lookups!B$10,IF(S220="S",R220*2,IF(AND(R220=0,T220&gt;0),T220,"ERROR"))))))))</f>
        <v>0</v>
      </c>
      <c r="V220" s="130" t="str">
        <f>IF(OR(AND(Q220=0,H220=0),P220&gt;0),"",IF(AND(I220="W",N220="W"),ROUND(Q220-(H220*Lookups!$B$9),0),ROUND(+Q220-L220,0)))</f>
        <v/>
      </c>
      <c r="W220" s="75" t="str">
        <f t="shared" si="17"/>
        <v/>
      </c>
      <c r="X220" s="123" t="str">
        <f t="shared" si="19"/>
        <v/>
      </c>
      <c r="Y220" s="123" t="str">
        <f t="shared" si="18"/>
        <v/>
      </c>
      <c r="Z220" s="121"/>
    </row>
    <row r="221" spans="1:31" x14ac:dyDescent="0.35">
      <c r="B221" s="21" t="s">
        <v>674</v>
      </c>
      <c r="C221" s="4" t="s">
        <v>33</v>
      </c>
      <c r="D221" s="17"/>
      <c r="E221" s="15"/>
      <c r="F221" s="12"/>
      <c r="G221" s="20"/>
      <c r="H221" s="15"/>
      <c r="I221" s="19"/>
      <c r="J221" s="12"/>
      <c r="K221" s="12"/>
      <c r="L221" s="20"/>
      <c r="M221" s="15"/>
      <c r="N221" s="19"/>
      <c r="O221" s="12">
        <v>300</v>
      </c>
      <c r="P221" s="12">
        <v>300</v>
      </c>
      <c r="Q221" s="20">
        <f>IF(N221="",0,IF(P221&gt;0,0,IF(N221="A",M221,IF(N221="M",M221*12,IF(N221="W",M221*(Lookups!$B$9),IF(N221="B",M221*(+Lookups!$B$10),IF(N221="S",M221*2,IF(AND(M221=0,P221&gt;0),P221,"ERROR"))))))))</f>
        <v>0</v>
      </c>
      <c r="R221" s="15"/>
      <c r="S221" s="19"/>
      <c r="T221" s="12"/>
      <c r="U221" s="20">
        <f>IF(R221="",0,IF(T221&gt;0,0,IF(S221="A",R221,IF(S221="M",R221*12,IF(S221="W",R221*Lookups!B$9,IF(S221="B",R221*+Lookups!B$10,IF(S221="S",R221*2,IF(AND(R221=0,T221&gt;0),T221,"ERROR"))))))))</f>
        <v>0</v>
      </c>
      <c r="V221" s="130" t="str">
        <f>IF(OR(AND(Q221=0,H221=0),P221&gt;0),"",IF(AND(I221="W",N221="W"),ROUND(Q221-(H221*Lookups!$B$9),0),ROUND(+Q221-L221,0)))</f>
        <v/>
      </c>
      <c r="W221" s="75" t="str">
        <f t="shared" si="17"/>
        <v>E</v>
      </c>
      <c r="X221" s="123" t="str">
        <f t="shared" si="19"/>
        <v/>
      </c>
      <c r="Y221" s="123" t="str">
        <f t="shared" si="18"/>
        <v>Y</v>
      </c>
      <c r="Z221" s="121"/>
    </row>
    <row r="222" spans="1:31" x14ac:dyDescent="0.35">
      <c r="B222" s="21" t="s">
        <v>675</v>
      </c>
      <c r="C222" s="4" t="s">
        <v>19</v>
      </c>
      <c r="D222" s="17"/>
      <c r="E222" s="15"/>
      <c r="F222" s="12"/>
      <c r="G222" s="20"/>
      <c r="H222" s="15"/>
      <c r="I222" s="19"/>
      <c r="J222" s="12"/>
      <c r="K222" s="12"/>
      <c r="L222" s="20"/>
      <c r="M222" s="15">
        <f>+(70)</f>
        <v>70</v>
      </c>
      <c r="N222" s="19" t="s">
        <v>42</v>
      </c>
      <c r="O222" s="12">
        <v>555</v>
      </c>
      <c r="P222" s="12"/>
      <c r="Q222" s="20">
        <f>IF(N222="",0,IF(P222&gt;0,0,IF(N222="A",M222,IF(N222="M",M222*12,IF(N222="W",M222*(Lookups!$B$9),IF(N222="B",M222*(+Lookups!$B$10),IF(N222="S",M222*2,IF(AND(M222=0,P222&gt;0),P222,"ERROR"))))))))</f>
        <v>840</v>
      </c>
      <c r="R222" s="15"/>
      <c r="S222" s="19"/>
      <c r="T222" s="12"/>
      <c r="U222" s="20">
        <f>IF(R222="",0,IF(T222&gt;0,0,IF(S222="A",R222,IF(S222="M",R222*12,IF(S222="W",R222*Lookups!B$9,IF(S222="B",R222*+Lookups!B$10,IF(S222="S",R222*2,IF(AND(R222=0,T222&gt;0),T222,"ERROR"))))))))</f>
        <v>0</v>
      </c>
      <c r="V222" s="130">
        <f>IF(OR(AND(Q222=0,H222=0),P222&gt;0),"",IF(AND(I222="W",N222="W"),ROUND(Q222-(H222*Lookups!$B$9),0),ROUND(+Q222-L222,0)))</f>
        <v>840</v>
      </c>
      <c r="W222" s="75" t="str">
        <f t="shared" si="17"/>
        <v>N</v>
      </c>
      <c r="X222" s="123" t="str">
        <f t="shared" si="19"/>
        <v>N</v>
      </c>
      <c r="Y222" s="123" t="str">
        <f t="shared" si="18"/>
        <v/>
      </c>
      <c r="Z222" s="121"/>
    </row>
    <row r="223" spans="1:31" x14ac:dyDescent="0.35">
      <c r="B223" s="21" t="s">
        <v>347</v>
      </c>
      <c r="C223" s="4" t="s">
        <v>348</v>
      </c>
      <c r="D223" s="17"/>
      <c r="E223" s="15"/>
      <c r="F223" s="12"/>
      <c r="G223" s="20"/>
      <c r="H223" s="15"/>
      <c r="I223" s="19"/>
      <c r="J223" s="12"/>
      <c r="K223" s="12"/>
      <c r="L223" s="20"/>
      <c r="M223" s="15"/>
      <c r="N223" s="19"/>
      <c r="O223" s="12">
        <v>50</v>
      </c>
      <c r="P223" s="12">
        <v>50</v>
      </c>
      <c r="Q223" s="20">
        <f>IF(N223="",0,IF(P223&gt;0,0,IF(N223="A",M223,IF(N223="M",M223*12,IF(N223="W",M223*(Lookups!$B$9),IF(N223="B",M223*(+Lookups!$B$10),IF(N223="S",M223*2,IF(AND(M223=0,P223&gt;0),P223,"ERROR"))))))))</f>
        <v>0</v>
      </c>
      <c r="R223" s="15"/>
      <c r="S223" s="19"/>
      <c r="T223" s="12"/>
      <c r="U223" s="20">
        <f>IF(R223="",0,IF(T223&gt;0,0,IF(S223="A",R223,IF(S223="M",R223*12,IF(S223="W",R223*Lookups!B$9,IF(S223="B",R223*+Lookups!B$10,IF(S223="S",R223*2,IF(AND(R223=0,T223&gt;0),T223,"ERROR"))))))))</f>
        <v>0</v>
      </c>
      <c r="V223" s="130" t="str">
        <f>IF(OR(AND(Q223=0,H223=0),P223&gt;0),"",IF(AND(I223="W",N223="W"),ROUND(Q223-(H223*Lookups!$B$9),0),ROUND(+Q223-L223,0)))</f>
        <v/>
      </c>
      <c r="W223" s="75" t="str">
        <f t="shared" si="17"/>
        <v>E</v>
      </c>
      <c r="X223" s="123" t="str">
        <f t="shared" si="19"/>
        <v/>
      </c>
      <c r="Y223" s="123" t="str">
        <f t="shared" si="18"/>
        <v>Y</v>
      </c>
      <c r="Z223" s="121"/>
    </row>
    <row r="224" spans="1:31" x14ac:dyDescent="0.35">
      <c r="B224" s="21" t="s">
        <v>211</v>
      </c>
      <c r="C224" s="4" t="s">
        <v>212</v>
      </c>
      <c r="D224" s="17">
        <v>1060</v>
      </c>
      <c r="E224" s="15">
        <v>1040</v>
      </c>
      <c r="F224" s="12">
        <v>780</v>
      </c>
      <c r="G224" s="20">
        <f t="shared" si="21"/>
        <v>1040</v>
      </c>
      <c r="H224" s="15">
        <v>20</v>
      </c>
      <c r="I224" s="19" t="s">
        <v>41</v>
      </c>
      <c r="J224" s="12">
        <v>780</v>
      </c>
      <c r="K224" s="12"/>
      <c r="L224" s="20">
        <f>IF(I224="",0,IF(K224&gt;0,0,IF(I224="A",H224,IF(I224="M",H224*12,IF(I224="W",H224*(Lookups!$B$9+1),IF(I224="B",H224*(+Lookups!$B$10),IF(I224="S",H224*2,IF(AND(H224=0,K224&gt;0),K224,"ERROR"))))))))</f>
        <v>1060</v>
      </c>
      <c r="M224" s="15">
        <v>20</v>
      </c>
      <c r="N224" s="19" t="s">
        <v>41</v>
      </c>
      <c r="O224" s="12">
        <v>700</v>
      </c>
      <c r="P224" s="12"/>
      <c r="Q224" s="20">
        <f>IF(N224="",0,IF(P224&gt;0,0,IF(N224="A",M224,IF(N224="M",M224*12,IF(N224="W",M224*(Lookups!$B$9),IF(N224="B",M224*(+Lookups!$B$10),IF(N224="S",M224*2,IF(AND(M224=0,P224&gt;0),P224,"ERROR"))))))))</f>
        <v>1040</v>
      </c>
      <c r="R224" s="15">
        <v>20</v>
      </c>
      <c r="S224" s="19" t="s">
        <v>41</v>
      </c>
      <c r="T224" s="12"/>
      <c r="U224" s="20">
        <f>IF(R224="",0,IF(T224&gt;0,0,IF(S224="A",R224,IF(S224="M",R224*12,IF(S224="W",R224*Lookups!B$9,IF(S224="B",R224*+Lookups!B$10,IF(S224="S",R224*2,IF(AND(R224=0,T224&gt;0),T224,"ERROR"))))))))</f>
        <v>1040</v>
      </c>
      <c r="V224" s="130">
        <f>IF(OR(AND(Q224=0,H224=0),P224&gt;0),"",IF(AND(I224="W",N224="W"),ROUND(Q224-(H224*Lookups!$B$9),0),ROUND(+Q224-L224,0)))</f>
        <v>0</v>
      </c>
      <c r="W224" s="75" t="str">
        <f t="shared" si="17"/>
        <v>S</v>
      </c>
      <c r="X224" s="123" t="str">
        <f t="shared" si="19"/>
        <v>N</v>
      </c>
      <c r="Y224" s="123" t="str">
        <f t="shared" si="18"/>
        <v/>
      </c>
      <c r="Z224" s="121"/>
      <c r="AA224" s="52" t="s">
        <v>610</v>
      </c>
      <c r="AB224" s="53" t="s">
        <v>611</v>
      </c>
      <c r="AC224" s="53" t="s">
        <v>559</v>
      </c>
      <c r="AD224" s="54" t="s">
        <v>395</v>
      </c>
      <c r="AE224" s="55">
        <v>53406</v>
      </c>
    </row>
    <row r="225" spans="1:31" x14ac:dyDescent="0.35">
      <c r="A225" s="139" t="s">
        <v>638</v>
      </c>
      <c r="B225" s="79" t="s">
        <v>213</v>
      </c>
      <c r="C225" s="80" t="s">
        <v>214</v>
      </c>
      <c r="D225" s="90">
        <v>1500</v>
      </c>
      <c r="E225" s="82">
        <v>1500</v>
      </c>
      <c r="F225" s="81">
        <v>1155</v>
      </c>
      <c r="G225" s="83">
        <f t="shared" si="21"/>
        <v>1500</v>
      </c>
      <c r="H225" s="82">
        <v>125</v>
      </c>
      <c r="I225" s="84" t="s">
        <v>42</v>
      </c>
      <c r="J225" s="81"/>
      <c r="K225" s="81"/>
      <c r="L225" s="83">
        <f>IF(I225="",0,IF(K225&gt;0,0,IF(I225="A",H225,IF(I225="M",H225*12,IF(I225="W",H225*(Lookups!$B$9+1),IF(I225="B",H225*(+Lookups!$B$10),IF(I225="S",H225*2,IF(AND(H225=0,K225&gt;0),K225,"ERROR"))))))))</f>
        <v>1500</v>
      </c>
      <c r="M225" s="82"/>
      <c r="N225" s="84"/>
      <c r="O225" s="81">
        <v>0</v>
      </c>
      <c r="P225" s="81"/>
      <c r="Q225" s="83">
        <f>IF(N225="",0,IF(P225&gt;0,0,IF(N225="A",M225,IF(N225="M",M225*12,IF(N225="W",M225*(Lookups!$B$9),IF(N225="B",M225*(+Lookups!$B$10),IF(N225="S",M225*2,IF(AND(M225=0,P225&gt;0),P225,"ERROR"))))))))</f>
        <v>0</v>
      </c>
      <c r="R225" s="82"/>
      <c r="S225" s="84"/>
      <c r="T225" s="81"/>
      <c r="U225" s="83">
        <f>IF(R225="",0,IF(T225&gt;0,0,IF(S225="A",R225,IF(S225="M",R225*12,IF(S225="W",R225*Lookups!B$9,IF(S225="B",R225*+Lookups!B$10,IF(S225="S",R225*2,IF(AND(R225=0,T225&gt;0),T225,"ERROR"))))))))</f>
        <v>0</v>
      </c>
      <c r="V225" s="85">
        <f>IF(OR(AND(Q225=0,H225=0),P225&gt;0),"",IF(AND(I225="W",N225="W"),ROUND(Q225-(H225*Lookups!$B$9),0),ROUND(+Q225-L225,0)))</f>
        <v>-1500</v>
      </c>
      <c r="W225" s="136" t="s">
        <v>631</v>
      </c>
      <c r="X225" s="123" t="str">
        <f t="shared" si="19"/>
        <v/>
      </c>
      <c r="Y225" s="123" t="str">
        <f t="shared" si="18"/>
        <v/>
      </c>
      <c r="Z225" s="124" t="s">
        <v>505</v>
      </c>
      <c r="AA225" s="87"/>
      <c r="AB225" s="87"/>
      <c r="AC225" s="87"/>
      <c r="AD225" s="88"/>
      <c r="AE225" s="89"/>
    </row>
    <row r="226" spans="1:31" x14ac:dyDescent="0.35">
      <c r="B226" s="21" t="s">
        <v>215</v>
      </c>
      <c r="C226" s="4" t="s">
        <v>216</v>
      </c>
      <c r="D226" s="17">
        <v>5100</v>
      </c>
      <c r="E226" s="15">
        <v>5100</v>
      </c>
      <c r="F226" s="12">
        <v>3825</v>
      </c>
      <c r="G226" s="20">
        <f t="shared" si="21"/>
        <v>5100</v>
      </c>
      <c r="H226" s="15"/>
      <c r="I226" s="19" t="s">
        <v>42</v>
      </c>
      <c r="J226" s="12">
        <v>3825</v>
      </c>
      <c r="K226" s="12">
        <v>5100</v>
      </c>
      <c r="L226" s="20">
        <f>IF(I226="",0,IF(K226&gt;0,0,IF(I226="A",H226,IF(I226="M",H226*12,IF(I226="W",H226*(Lookups!$B$9+1),IF(I226="B",H226*(+Lookups!$B$10),IF(I226="S",H226*2,IF(AND(H226=0,K226&gt;0),K226,"ERROR"))))))))</f>
        <v>0</v>
      </c>
      <c r="M226" s="15">
        <v>425</v>
      </c>
      <c r="N226" s="19" t="s">
        <v>42</v>
      </c>
      <c r="O226" s="12">
        <v>3825</v>
      </c>
      <c r="P226" s="12"/>
      <c r="Q226" s="20">
        <f>IF(N226="",0,IF(P226&gt;0,0,IF(N226="A",M226,IF(N226="M",M226*12,IF(N226="W",M226*(Lookups!$B$9),IF(N226="B",M226*(+Lookups!$B$10),IF(N226="S",M226*2,IF(AND(M226=0,P226&gt;0),P226,"ERROR"))))))))</f>
        <v>5100</v>
      </c>
      <c r="R226" s="15">
        <v>425</v>
      </c>
      <c r="S226" s="19" t="s">
        <v>42</v>
      </c>
      <c r="T226" s="12"/>
      <c r="U226" s="20">
        <f>IF(R226="",0,IF(T226&gt;0,0,IF(S226="A",R226,IF(S226="M",R226*12,IF(S226="W",R226*Lookups!B$9,IF(S226="B",R226*+Lookups!B$10,IF(S226="S",R226*2,IF(AND(R226=0,T226&gt;0),T226,"ERROR"))))))))</f>
        <v>5100</v>
      </c>
      <c r="V226" s="130">
        <f>IF(OR(AND(Q226=0,H226=0),P226&gt;0),"",IF(AND(I226="W",N226="W"),ROUND(Q226-(H226*Lookups!$B$9),0),ROUND(+Q226-L226,0)))</f>
        <v>5100</v>
      </c>
      <c r="W226" s="75" t="str">
        <f t="shared" si="17"/>
        <v>N</v>
      </c>
      <c r="X226" s="123" t="str">
        <f t="shared" si="19"/>
        <v>N</v>
      </c>
      <c r="Y226" s="123" t="str">
        <f t="shared" si="18"/>
        <v/>
      </c>
      <c r="Z226" s="121"/>
      <c r="AA226" s="52" t="s">
        <v>612</v>
      </c>
      <c r="AB226" s="53" t="s">
        <v>613</v>
      </c>
      <c r="AC226" s="53" t="s">
        <v>418</v>
      </c>
      <c r="AD226" s="54" t="s">
        <v>395</v>
      </c>
      <c r="AE226" s="55">
        <v>53402</v>
      </c>
    </row>
    <row r="227" spans="1:31" x14ac:dyDescent="0.35">
      <c r="B227" s="21" t="s">
        <v>217</v>
      </c>
      <c r="C227" s="4" t="s">
        <v>214</v>
      </c>
      <c r="D227" s="17">
        <v>1104</v>
      </c>
      <c r="E227" s="15">
        <v>1128</v>
      </c>
      <c r="F227" s="12">
        <v>846</v>
      </c>
      <c r="G227" s="20">
        <f t="shared" si="21"/>
        <v>1128</v>
      </c>
      <c r="H227" s="15"/>
      <c r="I227" s="19" t="s">
        <v>42</v>
      </c>
      <c r="J227" s="12">
        <v>855</v>
      </c>
      <c r="K227" s="12">
        <v>1000</v>
      </c>
      <c r="L227" s="20">
        <f>IF(I227="",0,IF(K227&gt;0,0,IF(I227="A",H227,IF(I227="M",H227*12,IF(I227="W",H227*(Lookups!$B$9+1),IF(I227="B",H227*(+Lookups!$B$10),IF(I227="S",H227*2,IF(AND(H227=0,K227&gt;0),K227,"ERROR"))))))))</f>
        <v>0</v>
      </c>
      <c r="M227" s="15">
        <v>95</v>
      </c>
      <c r="N227" s="19" t="s">
        <v>42</v>
      </c>
      <c r="O227" s="12">
        <v>800</v>
      </c>
      <c r="P227" s="12"/>
      <c r="Q227" s="20">
        <f>IF(N227="",0,IF(P227&gt;0,0,IF(N227="A",M227,IF(N227="M",M227*12,IF(N227="W",M227*(Lookups!$B$9),IF(N227="B",M227*(+Lookups!$B$10),IF(N227="S",M227*2,IF(AND(M227=0,P227&gt;0),P227,"ERROR"))))))))</f>
        <v>1140</v>
      </c>
      <c r="R227" s="15">
        <v>95</v>
      </c>
      <c r="S227" s="19" t="s">
        <v>42</v>
      </c>
      <c r="T227" s="12"/>
      <c r="U227" s="20">
        <f>IF(R227="",0,IF(T227&gt;0,0,IF(S227="A",R227,IF(S227="M",R227*12,IF(S227="W",R227*Lookups!B$9,IF(S227="B",R227*+Lookups!B$10,IF(S227="S",R227*2,IF(AND(R227=0,T227&gt;0),T227,"ERROR"))))))))</f>
        <v>1140</v>
      </c>
      <c r="V227" s="130">
        <f>IF(OR(AND(Q227=0,H227=0),P227&gt;0),"",IF(AND(I227="W",N227="W"),ROUND(Q227-(H227*Lookups!$B$9),0),ROUND(+Q227-L227,0)))</f>
        <v>1140</v>
      </c>
      <c r="W227" s="75" t="str">
        <f t="shared" si="17"/>
        <v>N</v>
      </c>
      <c r="X227" s="123" t="str">
        <f t="shared" si="19"/>
        <v>N</v>
      </c>
      <c r="Y227" s="123" t="str">
        <f t="shared" si="18"/>
        <v/>
      </c>
      <c r="Z227" s="121"/>
      <c r="AA227" s="52" t="s">
        <v>614</v>
      </c>
      <c r="AB227" s="53" t="s">
        <v>615</v>
      </c>
      <c r="AC227" s="53" t="s">
        <v>418</v>
      </c>
      <c r="AD227" s="54" t="s">
        <v>395</v>
      </c>
      <c r="AE227" s="55">
        <v>53402</v>
      </c>
    </row>
    <row r="228" spans="1:31" x14ac:dyDescent="0.35">
      <c r="B228" s="21" t="s">
        <v>218</v>
      </c>
      <c r="C228" s="4" t="s">
        <v>676</v>
      </c>
      <c r="D228" s="17"/>
      <c r="E228" s="15"/>
      <c r="F228" s="12"/>
      <c r="G228" s="20"/>
      <c r="H228" s="15"/>
      <c r="I228" s="19"/>
      <c r="J228" s="12"/>
      <c r="K228" s="12"/>
      <c r="L228" s="20"/>
      <c r="M228" s="15"/>
      <c r="N228" s="19"/>
      <c r="O228" s="12">
        <v>499</v>
      </c>
      <c r="P228" s="12">
        <v>600</v>
      </c>
      <c r="Q228" s="20">
        <f>IF(N228="",0,IF(P228&gt;0,0,IF(N228="A",M228,IF(N228="M",M228*12,IF(N228="W",M228*(Lookups!$B$9),IF(N228="B",M228*(+Lookups!$B$10),IF(N228="S",M228*2,IF(AND(M228=0,P228&gt;0),P228,"ERROR"))))))))</f>
        <v>0</v>
      </c>
      <c r="R228" s="15"/>
      <c r="S228" s="19"/>
      <c r="T228" s="12"/>
      <c r="U228" s="20">
        <f>IF(R228="",0,IF(T228&gt;0,0,IF(S228="A",R228,IF(S228="M",R228*12,IF(S228="W",R228*Lookups!B$9,IF(S228="B",R228*+Lookups!B$10,IF(S228="S",R228*2,IF(AND(R228=0,T228&gt;0),T228,"ERROR"))))))))</f>
        <v>0</v>
      </c>
      <c r="V228" s="130" t="str">
        <f>IF(OR(AND(Q228=0,H228=0),P228&gt;0),"",IF(AND(I228="W",N228="W"),ROUND(Q228-(H228*Lookups!$B$9),0),ROUND(+Q228-L228,0)))</f>
        <v/>
      </c>
      <c r="W228" s="75" t="str">
        <f t="shared" si="17"/>
        <v>E</v>
      </c>
      <c r="X228" s="123" t="str">
        <f t="shared" si="19"/>
        <v/>
      </c>
      <c r="Y228" s="123" t="str">
        <f t="shared" si="18"/>
        <v>Y</v>
      </c>
      <c r="Z228" s="121"/>
      <c r="AA228" s="52"/>
    </row>
    <row r="229" spans="1:31" x14ac:dyDescent="0.35">
      <c r="B229" s="133" t="s">
        <v>218</v>
      </c>
      <c r="C229" s="70" t="s">
        <v>677</v>
      </c>
      <c r="D229" s="91">
        <v>5400</v>
      </c>
      <c r="E229" s="72">
        <v>5400</v>
      </c>
      <c r="F229" s="71">
        <v>4050</v>
      </c>
      <c r="G229" s="73">
        <f t="shared" si="21"/>
        <v>5400</v>
      </c>
      <c r="H229" s="72"/>
      <c r="I229" s="74" t="s">
        <v>42</v>
      </c>
      <c r="J229" s="71">
        <v>4500</v>
      </c>
      <c r="K229" s="71">
        <v>5400</v>
      </c>
      <c r="L229" s="20">
        <f>IF(I229="",0,IF(K229&gt;0,0,IF(I229="A",H229,IF(I229="M",H229*12,IF(I229="W",H229*(Lookups!$B$9+1),IF(I229="B",H229*(+Lookups!$B$10),IF(I229="S",H229*2,IF(AND(H229=0,K229&gt;0),K229,"ERROR"))))))))</f>
        <v>0</v>
      </c>
      <c r="M229" s="72">
        <v>50</v>
      </c>
      <c r="N229" s="74" t="s">
        <v>42</v>
      </c>
      <c r="O229" s="71">
        <v>700</v>
      </c>
      <c r="P229" s="71">
        <v>700</v>
      </c>
      <c r="Q229" s="20">
        <f>IF(N229="",0,IF(P229&gt;0,0,IF(N229="A",M229,IF(N229="M",M229*12,IF(N229="W",M229*(Lookups!$B$9),IF(N229="B",M229*(+Lookups!$B$10),IF(N229="S",M229*2,IF(AND(M229=0,P229&gt;0),P229,"ERROR"))))))))</f>
        <v>0</v>
      </c>
      <c r="R229" s="72"/>
      <c r="S229" s="74"/>
      <c r="T229" s="71">
        <v>5000</v>
      </c>
      <c r="U229" s="20">
        <f>IF(R229="",0,IF(T229&gt;0,0,IF(S229="A",R229,IF(S229="M",R229*12,IF(S229="W",R229*Lookups!B$9,IF(S229="B",R229*+Lookups!B$10,IF(S229="S",R229*2,IF(AND(R229=0,T229&gt;0),T229,"ERROR"))))))))</f>
        <v>0</v>
      </c>
      <c r="V229" s="130" t="str">
        <f>IF(OR(AND(Q229=0,H229=0),P229&gt;0),"",IF(AND(I229="W",N229="W"),ROUND(Q229-(H229*Lookups!$B$9),0),ROUND(+Q229-L229,0)))</f>
        <v/>
      </c>
      <c r="W229" s="75" t="str">
        <f t="shared" si="17"/>
        <v>E</v>
      </c>
      <c r="X229" s="123" t="str">
        <f t="shared" si="19"/>
        <v/>
      </c>
      <c r="Y229" s="123" t="str">
        <f t="shared" si="18"/>
        <v>Y</v>
      </c>
      <c r="Z229" s="123"/>
      <c r="AA229" s="76"/>
      <c r="AB229" s="76"/>
      <c r="AC229" s="76"/>
      <c r="AD229" s="77"/>
      <c r="AE229" s="78"/>
    </row>
    <row r="230" spans="1:31" x14ac:dyDescent="0.35">
      <c r="B230" s="69" t="s">
        <v>218</v>
      </c>
      <c r="C230" s="70" t="s">
        <v>630</v>
      </c>
      <c r="D230" s="91"/>
      <c r="E230" s="72"/>
      <c r="F230" s="71"/>
      <c r="G230" s="73">
        <f t="shared" si="21"/>
        <v>0</v>
      </c>
      <c r="H230" s="72"/>
      <c r="I230" s="74"/>
      <c r="J230" s="71">
        <v>50</v>
      </c>
      <c r="K230" s="71"/>
      <c r="L230" s="20">
        <f>IF(I230="",0,IF(K230&gt;0,0,IF(I230="A",H230,IF(I230="M",H230*12,IF(I230="W",H230*(Lookups!$B$9+1),IF(I230="B",H230*(+Lookups!$B$10),IF(I230="S",H230*2,IF(AND(H230=0,K230&gt;0),K230,"ERROR"))))))))</f>
        <v>0</v>
      </c>
      <c r="M230" s="72"/>
      <c r="N230" s="74"/>
      <c r="O230" s="71">
        <v>950</v>
      </c>
      <c r="P230" s="71">
        <v>1200</v>
      </c>
      <c r="Q230" s="20">
        <f>IF(N230="",0,IF(P230&gt;0,0,IF(N230="A",M230,IF(N230="M",M230*12,IF(N230="W",M230*(Lookups!$B$9),IF(N230="B",M230*(+Lookups!$B$10),IF(N230="S",M230*2,IF(AND(M230=0,P230&gt;0),P230,"ERROR"))))))))</f>
        <v>0</v>
      </c>
      <c r="R230" s="72"/>
      <c r="S230" s="74"/>
      <c r="T230" s="71"/>
      <c r="U230" s="20">
        <f>IF(R230="",0,IF(T230&gt;0,0,IF(S230="A",R230,IF(S230="M",R230*12,IF(S230="W",R230*Lookups!B$9,IF(S230="B",R230*+Lookups!B$10,IF(S230="S",R230*2,IF(AND(R230=0,T230&gt;0),T230,"ERROR"))))))))</f>
        <v>0</v>
      </c>
      <c r="V230" s="130" t="str">
        <f>IF(OR(AND(Q230=0,H230=0),P230&gt;0),"",IF(AND(I230="W",N230="W"),ROUND(Q230-(H230*Lookups!$B$9),0),ROUND(+Q230-L230,0)))</f>
        <v/>
      </c>
      <c r="W230" s="75" t="str">
        <f t="shared" si="17"/>
        <v>E</v>
      </c>
      <c r="X230" s="123" t="str">
        <f t="shared" si="19"/>
        <v/>
      </c>
      <c r="Y230" s="123" t="str">
        <f t="shared" si="18"/>
        <v>Y</v>
      </c>
      <c r="Z230" s="123"/>
      <c r="AA230" s="76"/>
      <c r="AB230" s="76"/>
      <c r="AC230" s="76"/>
      <c r="AD230" s="77"/>
      <c r="AE230" s="78"/>
    </row>
    <row r="231" spans="1:31" x14ac:dyDescent="0.35">
      <c r="A231" s="139" t="s">
        <v>638</v>
      </c>
      <c r="B231" s="79" t="s">
        <v>349</v>
      </c>
      <c r="C231" s="80" t="s">
        <v>350</v>
      </c>
      <c r="D231" s="90">
        <v>5500</v>
      </c>
      <c r="E231" s="82"/>
      <c r="F231" s="81">
        <v>100</v>
      </c>
      <c r="G231" s="83">
        <f t="shared" si="21"/>
        <v>100</v>
      </c>
      <c r="H231" s="82"/>
      <c r="I231" s="84"/>
      <c r="J231" s="81"/>
      <c r="K231" s="81"/>
      <c r="L231" s="83">
        <f>IF(I231="",0,IF(K231&gt;0,0,IF(I231="A",H231,IF(I231="M",H231*12,IF(I231="W",H231*(Lookups!$B$9+1),IF(I231="B",H231*(+Lookups!$B$10),IF(I231="S",H231*2,IF(AND(H231=0,K231&gt;0),K231,"ERROR"))))))))</f>
        <v>0</v>
      </c>
      <c r="M231" s="82"/>
      <c r="N231" s="84"/>
      <c r="O231" s="81">
        <v>0</v>
      </c>
      <c r="P231" s="81"/>
      <c r="Q231" s="83">
        <f>IF(N231="",0,IF(P231&gt;0,0,IF(N231="A",M231,IF(N231="M",M231*12,IF(N231="W",M231*(Lookups!$B$9),IF(N231="B",M231*(+Lookups!$B$10),IF(N231="S",M231*2,IF(AND(M231=0,P231&gt;0),P231,"ERROR"))))))))</f>
        <v>0</v>
      </c>
      <c r="R231" s="82"/>
      <c r="S231" s="84"/>
      <c r="T231" s="81"/>
      <c r="U231" s="83">
        <f>IF(R231="",0,IF(T231&gt;0,0,IF(S231="A",R231,IF(S231="M",R231*12,IF(S231="W",R231*Lookups!B$9,IF(S231="B",R231*+Lookups!B$10,IF(S231="S",R231*2,IF(AND(R231=0,T231&gt;0),T231,"ERROR"))))))))</f>
        <v>0</v>
      </c>
      <c r="V231" s="85" t="str">
        <f>IF(OR(AND(Q231=0,H231=0),P231&gt;0),"",IF(AND(I231="W",N231="W"),ROUND(Q231-(H231*Lookups!$B$9),0),ROUND(+Q231-L231,0)))</f>
        <v/>
      </c>
      <c r="W231" s="86" t="str">
        <f t="shared" si="17"/>
        <v/>
      </c>
      <c r="X231" s="123" t="str">
        <f t="shared" si="19"/>
        <v/>
      </c>
      <c r="Y231" s="123" t="str">
        <f t="shared" si="18"/>
        <v/>
      </c>
      <c r="Z231" s="124"/>
      <c r="AA231" s="87" t="s">
        <v>502</v>
      </c>
      <c r="AB231" s="87"/>
      <c r="AC231" s="87"/>
      <c r="AD231" s="88"/>
      <c r="AE231" s="89"/>
    </row>
    <row r="232" spans="1:31" x14ac:dyDescent="0.35">
      <c r="B232" s="134" t="s">
        <v>219</v>
      </c>
      <c r="C232" s="4" t="s">
        <v>220</v>
      </c>
      <c r="D232" s="17">
        <v>2080</v>
      </c>
      <c r="E232" s="15">
        <v>2600</v>
      </c>
      <c r="F232" s="12">
        <v>1440</v>
      </c>
      <c r="G232" s="20">
        <f t="shared" si="21"/>
        <v>1440</v>
      </c>
      <c r="H232" s="15">
        <v>50</v>
      </c>
      <c r="I232" s="19" t="s">
        <v>41</v>
      </c>
      <c r="J232" s="12">
        <v>1450</v>
      </c>
      <c r="K232" s="12"/>
      <c r="L232" s="20">
        <f>IF(I232="",0,IF(K232&gt;0,0,IF(I232="A",H232,IF(I232="M",H232*12,IF(I232="W",H232*(Lookups!$B$9+1),IF(I232="B",H232*(+Lookups!$B$10),IF(I232="S",H232*2,IF(AND(H232=0,K232&gt;0),K232,"ERROR"))))))))</f>
        <v>2650</v>
      </c>
      <c r="M232" s="15"/>
      <c r="N232" s="19"/>
      <c r="O232" s="12">
        <v>1700</v>
      </c>
      <c r="P232" s="12">
        <v>1700</v>
      </c>
      <c r="Q232" s="20">
        <f>IF(N232="",0,IF(P232&gt;0,0,IF(N232="A",M232,IF(N232="M",M232*12,IF(N232="W",M232*(Lookups!$B$9),IF(N232="B",M232*(+Lookups!$B$10),IF(N232="S",M232*2,IF(AND(M232=0,P232&gt;0),P232,"ERROR"))))))))</f>
        <v>0</v>
      </c>
      <c r="R232" s="15"/>
      <c r="S232" s="19"/>
      <c r="T232" s="12">
        <v>1500</v>
      </c>
      <c r="U232" s="20">
        <f>IF(R232="",0,IF(T232&gt;0,0,IF(S232="A",R232,IF(S232="M",R232*12,IF(S232="W",R232*Lookups!B$9,IF(S232="B",R232*+Lookups!B$10,IF(S232="S",R232*2,IF(AND(R232=0,T232&gt;0),T232,"ERROR"))))))))</f>
        <v>0</v>
      </c>
      <c r="V232" s="130" t="str">
        <f>IF(OR(AND(Q232=0,H232=0),P232&gt;0),"",IF(AND(I232="W",N232="W"),ROUND(Q232-(H232*Lookups!$B$9),0),ROUND(+Q232-L232,0)))</f>
        <v/>
      </c>
      <c r="W232" s="75" t="str">
        <f t="shared" si="17"/>
        <v>E</v>
      </c>
      <c r="X232" s="123" t="str">
        <f t="shared" si="19"/>
        <v/>
      </c>
      <c r="Y232" s="123" t="str">
        <f t="shared" si="18"/>
        <v>Y</v>
      </c>
      <c r="Z232" s="121"/>
      <c r="AA232" s="52" t="s">
        <v>491</v>
      </c>
      <c r="AB232" s="53" t="s">
        <v>492</v>
      </c>
      <c r="AC232" s="53" t="s">
        <v>394</v>
      </c>
      <c r="AD232" s="54" t="s">
        <v>395</v>
      </c>
      <c r="AE232" s="55">
        <v>53406</v>
      </c>
    </row>
    <row r="233" spans="1:31" x14ac:dyDescent="0.35">
      <c r="A233" s="139" t="s">
        <v>638</v>
      </c>
      <c r="B233" s="21" t="s">
        <v>351</v>
      </c>
      <c r="C233" s="4" t="s">
        <v>352</v>
      </c>
      <c r="D233" s="17">
        <v>1200</v>
      </c>
      <c r="E233" s="15"/>
      <c r="F233" s="12"/>
      <c r="G233" s="20">
        <f t="shared" si="21"/>
        <v>0</v>
      </c>
      <c r="H233" s="15"/>
      <c r="I233" s="19"/>
      <c r="J233" s="12"/>
      <c r="K233" s="12"/>
      <c r="L233" s="20">
        <f>IF(I233="",0,IF(K233&gt;0,0,IF(I233="A",H233,IF(I233="M",H233*12,IF(I233="W",H233*(Lookups!$B$9+1),IF(I233="B",H233*(+Lookups!$B$10),IF(I233="S",H233*2,IF(AND(H233=0,K233&gt;0),K233,"ERROR"))))))))</f>
        <v>0</v>
      </c>
      <c r="M233" s="15"/>
      <c r="N233" s="19"/>
      <c r="O233" s="12">
        <v>0</v>
      </c>
      <c r="P233" s="12"/>
      <c r="Q233" s="20">
        <f>IF(N233="",0,IF(P233&gt;0,0,IF(N233="A",M233,IF(N233="M",M233*12,IF(N233="W",M233*(Lookups!$B$9),IF(N233="B",M233*(+Lookups!$B$10),IF(N233="S",M233*2,IF(AND(M233=0,P233&gt;0),P233,"ERROR"))))))))</f>
        <v>0</v>
      </c>
      <c r="R233" s="15"/>
      <c r="S233" s="19"/>
      <c r="T233" s="12"/>
      <c r="U233" s="20">
        <f>IF(R233="",0,IF(T233&gt;0,0,IF(S233="A",R233,IF(S233="M",R233*12,IF(S233="W",R233*Lookups!B$9,IF(S233="B",R233*+Lookups!B$10,IF(S233="S",R233*2,IF(AND(R233=0,T233&gt;0),T233,"ERROR"))))))))</f>
        <v>0</v>
      </c>
      <c r="V233" s="130" t="str">
        <f>IF(OR(AND(Q233=0,H233=0),P233&gt;0),"",IF(AND(I233="W",N233="W"),ROUND(Q233-(H233*Lookups!$B$9),0),ROUND(+Q233-L233,0)))</f>
        <v/>
      </c>
      <c r="W233" s="75" t="str">
        <f t="shared" si="17"/>
        <v/>
      </c>
      <c r="X233" s="123" t="str">
        <f t="shared" si="19"/>
        <v/>
      </c>
      <c r="Y233" s="123" t="str">
        <f t="shared" si="18"/>
        <v/>
      </c>
      <c r="Z233" s="121"/>
    </row>
    <row r="234" spans="1:31" x14ac:dyDescent="0.35">
      <c r="B234" s="21" t="s">
        <v>221</v>
      </c>
      <c r="C234" s="4" t="s">
        <v>222</v>
      </c>
      <c r="D234" s="17">
        <v>3965</v>
      </c>
      <c r="E234" s="15">
        <v>4160</v>
      </c>
      <c r="F234" s="12">
        <v>3040</v>
      </c>
      <c r="G234" s="20">
        <f t="shared" si="21"/>
        <v>4160</v>
      </c>
      <c r="H234" s="15">
        <v>80</v>
      </c>
      <c r="I234" s="19" t="s">
        <v>41</v>
      </c>
      <c r="J234" s="12">
        <v>3040</v>
      </c>
      <c r="K234" s="12"/>
      <c r="L234" s="20">
        <f>IF(I234="",0,IF(K234&gt;0,0,IF(I234="A",H234,IF(I234="M",H234*12,IF(I234="W",H234*(Lookups!$B$9+1),IF(I234="B",H234*(+Lookups!$B$10),IF(I234="S",H234*2,IF(AND(H234=0,K234&gt;0),K234,"ERROR"))))))))</f>
        <v>4240</v>
      </c>
      <c r="M234" s="15">
        <v>80</v>
      </c>
      <c r="N234" s="19" t="s">
        <v>41</v>
      </c>
      <c r="O234" s="12">
        <v>2720</v>
      </c>
      <c r="P234" s="12"/>
      <c r="Q234" s="20">
        <f>IF(N234="",0,IF(P234&gt;0,0,IF(N234="A",M234,IF(N234="M",M234*12,IF(N234="W",M234*(Lookups!$B$9),IF(N234="B",M234*(+Lookups!$B$10),IF(N234="S",M234*2,IF(AND(M234=0,P234&gt;0),P234,"ERROR"))))))))</f>
        <v>4160</v>
      </c>
      <c r="R234" s="15">
        <v>80</v>
      </c>
      <c r="S234" s="19" t="s">
        <v>41</v>
      </c>
      <c r="T234" s="12"/>
      <c r="U234" s="20">
        <f>IF(R234="",0,IF(T234&gt;0,0,IF(S234="A",R234,IF(S234="M",R234*12,IF(S234="W",R234*Lookups!B$9,IF(S234="B",R234*+Lookups!B$10,IF(S234="S",R234*2,IF(AND(R234=0,T234&gt;0),T234,"ERROR"))))))))</f>
        <v>4160</v>
      </c>
      <c r="V234" s="130">
        <f>IF(OR(AND(Q234=0,H234=0),P234&gt;0),"",IF(AND(I234="W",N234="W"),ROUND(Q234-(H234*Lookups!$B$9),0),ROUND(+Q234-L234,0)))</f>
        <v>0</v>
      </c>
      <c r="W234" s="75" t="str">
        <f t="shared" si="17"/>
        <v>S</v>
      </c>
      <c r="X234" s="123" t="str">
        <f t="shared" si="19"/>
        <v>N</v>
      </c>
      <c r="Y234" s="123" t="str">
        <f t="shared" si="18"/>
        <v/>
      </c>
      <c r="Z234" s="121"/>
      <c r="AB234" s="58" t="s">
        <v>493</v>
      </c>
      <c r="AC234" s="53" t="s">
        <v>418</v>
      </c>
      <c r="AD234" s="54" t="s">
        <v>395</v>
      </c>
      <c r="AE234" s="55">
        <v>53403</v>
      </c>
    </row>
    <row r="235" spans="1:31" x14ac:dyDescent="0.35">
      <c r="A235" s="139" t="s">
        <v>638</v>
      </c>
      <c r="B235" s="79" t="s">
        <v>221</v>
      </c>
      <c r="C235" s="80" t="s">
        <v>353</v>
      </c>
      <c r="D235" s="90">
        <v>2650</v>
      </c>
      <c r="E235" s="82"/>
      <c r="F235" s="81">
        <v>1250</v>
      </c>
      <c r="G235" s="83">
        <f t="shared" si="21"/>
        <v>1250</v>
      </c>
      <c r="H235" s="82"/>
      <c r="I235" s="84"/>
      <c r="J235" s="81"/>
      <c r="K235" s="81"/>
      <c r="L235" s="83">
        <f>IF(I235="",0,IF(K235&gt;0,0,IF(I235="A",H235,IF(I235="M",H235*12,IF(I235="W",H235*(Lookups!$B$9+1),IF(I235="B",H235*(+Lookups!$B$10),IF(I235="S",H235*2,IF(AND(H235=0,K235&gt;0),K235,"ERROR"))))))))</f>
        <v>0</v>
      </c>
      <c r="M235" s="82"/>
      <c r="N235" s="84"/>
      <c r="O235" s="81">
        <v>0</v>
      </c>
      <c r="P235" s="81"/>
      <c r="Q235" s="83">
        <f>IF(N235="",0,IF(P235&gt;0,0,IF(N235="A",M235,IF(N235="M",M235*12,IF(N235="W",M235*(Lookups!$B$9),IF(N235="B",M235*(+Lookups!$B$10),IF(N235="S",M235*2,IF(AND(M235=0,P235&gt;0),P235,"ERROR"))))))))</f>
        <v>0</v>
      </c>
      <c r="R235" s="82"/>
      <c r="S235" s="84"/>
      <c r="T235" s="81"/>
      <c r="U235" s="83">
        <f>IF(R235="",0,IF(T235&gt;0,0,IF(S235="A",R235,IF(S235="M",R235*12,IF(S235="W",R235*Lookups!B$9,IF(S235="B",R235*+Lookups!B$10,IF(S235="S",R235*2,IF(AND(R235=0,T235&gt;0),T235,"ERROR"))))))))</f>
        <v>0</v>
      </c>
      <c r="V235" s="130" t="str">
        <f>IF(OR(AND(Q235=0,H235=0),P235&gt;0),"",IF(AND(I235="W",N235="W"),ROUND(Q235-(H235*Lookups!$B$9),0),ROUND(+Q235-L235,0)))</f>
        <v/>
      </c>
      <c r="W235" s="75" t="str">
        <f t="shared" si="17"/>
        <v/>
      </c>
      <c r="X235" s="123" t="str">
        <f t="shared" si="19"/>
        <v/>
      </c>
      <c r="Y235" s="123" t="str">
        <f t="shared" si="18"/>
        <v/>
      </c>
      <c r="Z235" s="124"/>
      <c r="AA235" s="87" t="s">
        <v>502</v>
      </c>
      <c r="AB235" s="87"/>
      <c r="AC235" s="87"/>
      <c r="AD235" s="88"/>
      <c r="AE235" s="89"/>
    </row>
    <row r="236" spans="1:31" x14ac:dyDescent="0.35">
      <c r="B236" s="134" t="s">
        <v>223</v>
      </c>
      <c r="C236" s="4" t="s">
        <v>224</v>
      </c>
      <c r="D236" s="17">
        <v>5500</v>
      </c>
      <c r="E236" s="15">
        <v>5500</v>
      </c>
      <c r="F236" s="12">
        <v>4500</v>
      </c>
      <c r="G236" s="20">
        <f t="shared" si="21"/>
        <v>5500</v>
      </c>
      <c r="H236" s="15">
        <v>5500</v>
      </c>
      <c r="I236" s="19" t="s">
        <v>38</v>
      </c>
      <c r="J236" s="12">
        <v>3600</v>
      </c>
      <c r="K236" s="12"/>
      <c r="L236" s="20">
        <f>IF(I236="",0,IF(K236&gt;0,0,IF(I236="A",H236,IF(I236="M",H236*12,IF(I236="W",H236*(Lookups!$B$9+1),IF(I236="B",H236*(+Lookups!$B$10),IF(I236="S",H236*2,IF(AND(H236=0,K236&gt;0),K236,"ERROR"))))))))</f>
        <v>5500</v>
      </c>
      <c r="M236" s="15">
        <v>450</v>
      </c>
      <c r="N236" s="19" t="s">
        <v>42</v>
      </c>
      <c r="O236" s="12">
        <v>3600</v>
      </c>
      <c r="P236" s="12"/>
      <c r="Q236" s="20">
        <f>IF(N236="",0,IF(P236&gt;0,0,IF(N236="A",M236,IF(N236="M",M236*12,IF(N236="W",M236*(Lookups!$B$9),IF(N236="B",M236*(+Lookups!$B$10),IF(N236="S",M236*2,IF(AND(M236=0,P236&gt;0),P236,"ERROR"))))))))</f>
        <v>5400</v>
      </c>
      <c r="R236" s="15"/>
      <c r="S236" s="19"/>
      <c r="T236" s="12">
        <v>5500</v>
      </c>
      <c r="U236" s="20">
        <f>IF(R236="",0,IF(T236&gt;0,0,IF(S236="A",R236,IF(S236="M",R236*12,IF(S236="W",R236*Lookups!B$9,IF(S236="B",R236*+Lookups!B$10,IF(S236="S",R236*2,IF(AND(R236=0,T236&gt;0),T236,"ERROR"))))))))</f>
        <v>0</v>
      </c>
      <c r="V236" s="130">
        <f>IF(OR(AND(Q236=0,H236=0),P236&gt;0),"",IF(AND(I236="W",N236="W"),ROUND(Q236-(H236*Lookups!$B$9),0),ROUND(+Q236-L236,0)))</f>
        <v>-100</v>
      </c>
      <c r="W236" s="75" t="str">
        <f t="shared" si="17"/>
        <v>D</v>
      </c>
      <c r="X236" s="123" t="str">
        <f t="shared" si="19"/>
        <v>N</v>
      </c>
      <c r="Y236" s="123" t="str">
        <f t="shared" si="18"/>
        <v/>
      </c>
      <c r="Z236" s="121"/>
    </row>
    <row r="237" spans="1:31" x14ac:dyDescent="0.35">
      <c r="B237" s="21" t="s">
        <v>225</v>
      </c>
      <c r="C237" s="4" t="s">
        <v>226</v>
      </c>
      <c r="D237" s="17">
        <v>735</v>
      </c>
      <c r="E237" s="15">
        <v>780</v>
      </c>
      <c r="F237" s="12">
        <v>585</v>
      </c>
      <c r="G237" s="20">
        <f t="shared" si="21"/>
        <v>780</v>
      </c>
      <c r="H237" s="15">
        <v>65</v>
      </c>
      <c r="I237" s="19" t="s">
        <v>42</v>
      </c>
      <c r="J237" s="12">
        <v>585</v>
      </c>
      <c r="K237" s="12"/>
      <c r="L237" s="20">
        <f>IF(I237="",0,IF(K237&gt;0,0,IF(I237="A",H237,IF(I237="M",H237*12,IF(I237="W",H237*(Lookups!$B$9+1),IF(I237="B",H237*(+Lookups!$B$10),IF(I237="S",H237*2,IF(AND(H237=0,K237&gt;0),K237,"ERROR"))))))))</f>
        <v>780</v>
      </c>
      <c r="M237" s="15">
        <v>75</v>
      </c>
      <c r="N237" s="19" t="s">
        <v>42</v>
      </c>
      <c r="O237" s="12">
        <v>600</v>
      </c>
      <c r="P237" s="12"/>
      <c r="Q237" s="20">
        <f>IF(N237="",0,IF(P237&gt;0,0,IF(N237="A",M237,IF(N237="M",M237*12,IF(N237="W",M237*(Lookups!$B$9),IF(N237="B",M237*(+Lookups!$B$10),IF(N237="S",M237*2,IF(AND(M237=0,P237&gt;0),P237,"ERROR"))))))))</f>
        <v>900</v>
      </c>
      <c r="R237" s="15">
        <v>75</v>
      </c>
      <c r="S237" s="19" t="s">
        <v>42</v>
      </c>
      <c r="T237" s="12"/>
      <c r="U237" s="20">
        <f>IF(R237="",0,IF(T237&gt;0,0,IF(S237="A",R237,IF(S237="M",R237*12,IF(S237="W",R237*Lookups!B$9,IF(S237="B",R237*+Lookups!B$10,IF(S237="S",R237*2,IF(AND(R237=0,T237&gt;0),T237,"ERROR"))))))))</f>
        <v>900</v>
      </c>
      <c r="V237" s="130">
        <f>IF(OR(AND(Q237=0,H237=0),P237&gt;0),"",IF(AND(I237="W",N237="W"),ROUND(Q237-(H237*Lookups!$B$9),0),ROUND(+Q237-L237,0)))</f>
        <v>120</v>
      </c>
      <c r="W237" s="75" t="str">
        <f t="shared" si="17"/>
        <v>I</v>
      </c>
      <c r="X237" s="123" t="str">
        <f t="shared" si="19"/>
        <v>N</v>
      </c>
      <c r="Y237" s="123" t="str">
        <f t="shared" si="18"/>
        <v/>
      </c>
      <c r="Z237" s="121"/>
      <c r="AA237" s="52" t="s">
        <v>494</v>
      </c>
      <c r="AB237" s="53" t="s">
        <v>495</v>
      </c>
      <c r="AC237" s="53" t="s">
        <v>418</v>
      </c>
      <c r="AD237" s="54" t="s">
        <v>395</v>
      </c>
      <c r="AE237" s="55">
        <v>53405</v>
      </c>
    </row>
    <row r="238" spans="1:31" x14ac:dyDescent="0.35">
      <c r="B238" s="21" t="s">
        <v>354</v>
      </c>
      <c r="C238" s="4" t="s">
        <v>23</v>
      </c>
      <c r="D238" s="17">
        <v>50</v>
      </c>
      <c r="E238" s="15"/>
      <c r="F238" s="12">
        <v>100</v>
      </c>
      <c r="G238" s="20">
        <f t="shared" si="21"/>
        <v>100</v>
      </c>
      <c r="H238" s="15"/>
      <c r="I238" s="19"/>
      <c r="J238" s="12">
        <v>10</v>
      </c>
      <c r="K238" s="12"/>
      <c r="L238" s="20">
        <f>IF(I238="",0,IF(K238&gt;0,0,IF(I238="A",H238,IF(I238="M",H238*12,IF(I238="W",H238*(Lookups!$B$9+1),IF(I238="B",H238*(+Lookups!$B$10),IF(I238="S",H238*2,IF(AND(H238=0,K238&gt;0),K238,"ERROR"))))))))</f>
        <v>0</v>
      </c>
      <c r="M238" s="15"/>
      <c r="N238" s="19"/>
      <c r="O238" s="12">
        <v>50</v>
      </c>
      <c r="P238" s="12">
        <v>50</v>
      </c>
      <c r="Q238" s="20">
        <f>IF(N238="",0,IF(P238&gt;0,0,IF(N238="A",M238,IF(N238="M",M238*12,IF(N238="W",M238*(Lookups!$B$9),IF(N238="B",M238*(+Lookups!$B$10),IF(N238="S",M238*2,IF(AND(M238=0,P238&gt;0),P238,"ERROR"))))))))</f>
        <v>0</v>
      </c>
      <c r="R238" s="15"/>
      <c r="S238" s="19"/>
      <c r="T238" s="12"/>
      <c r="U238" s="20">
        <f>IF(R238="",0,IF(T238&gt;0,0,IF(S238="A",R238,IF(S238="M",R238*12,IF(S238="W",R238*Lookups!B$9,IF(S238="B",R238*+Lookups!B$10,IF(S238="S",R238*2,IF(AND(R238=0,T238&gt;0),T238,"ERROR"))))))))</f>
        <v>0</v>
      </c>
      <c r="V238" s="130" t="str">
        <f>IF(OR(AND(Q238=0,H238=0),P238&gt;0),"",IF(AND(I238="W",N238="W"),ROUND(Q238-(H238*Lookups!$B$9),0),ROUND(+Q238-L238,0)))</f>
        <v/>
      </c>
      <c r="W238" s="75" t="str">
        <f t="shared" si="17"/>
        <v>E</v>
      </c>
      <c r="X238" s="123" t="str">
        <f t="shared" si="19"/>
        <v/>
      </c>
      <c r="Y238" s="123" t="str">
        <f t="shared" si="18"/>
        <v>Y</v>
      </c>
      <c r="Z238" s="121"/>
    </row>
    <row r="239" spans="1:31" x14ac:dyDescent="0.35">
      <c r="B239" s="134" t="s">
        <v>227</v>
      </c>
      <c r="C239" s="4" t="s">
        <v>228</v>
      </c>
      <c r="D239" s="17">
        <v>4160</v>
      </c>
      <c r="E239" s="15">
        <v>8320</v>
      </c>
      <c r="F239" s="12">
        <v>6080</v>
      </c>
      <c r="G239" s="20">
        <f t="shared" si="21"/>
        <v>8320</v>
      </c>
      <c r="H239" s="15">
        <v>160</v>
      </c>
      <c r="I239" s="19" t="s">
        <v>41</v>
      </c>
      <c r="J239" s="12">
        <v>4160</v>
      </c>
      <c r="K239" s="12"/>
      <c r="L239" s="20">
        <f>IF(I239="",0,IF(K239&gt;0,0,IF(I239="A",H239,IF(I239="M",H239*12,IF(I239="W",H239*(Lookups!$B$9+1),IF(I239="B",H239*(+Lookups!$B$10),IF(I239="S",H239*2,IF(AND(H239=0,K239&gt;0),K239,"ERROR"))))))))</f>
        <v>8480</v>
      </c>
      <c r="M239" s="15"/>
      <c r="N239" s="19"/>
      <c r="O239" s="12">
        <v>5520</v>
      </c>
      <c r="P239" s="12">
        <v>8000</v>
      </c>
      <c r="Q239" s="20">
        <f>IF(N239="",0,IF(P239&gt;0,0,IF(N239="A",M239,IF(N239="M",M239*12,IF(N239="W",M239*(Lookups!$B$9),IF(N239="B",M239*(+Lookups!$B$10),IF(N239="S",M239*2,IF(AND(M239=0,P239&gt;0),P239,"ERROR"))))))))</f>
        <v>0</v>
      </c>
      <c r="R239" s="15"/>
      <c r="S239" s="19"/>
      <c r="T239" s="12">
        <v>5500</v>
      </c>
      <c r="U239" s="20">
        <f>IF(R239="",0,IF(T239&gt;0,0,IF(S239="A",R239,IF(S239="M",R239*12,IF(S239="W",R239*Lookups!B$9,IF(S239="B",R239*+Lookups!B$10,IF(S239="S",R239*2,IF(AND(R239=0,T239&gt;0),T239,"ERROR"))))))))</f>
        <v>0</v>
      </c>
      <c r="V239" s="130" t="str">
        <f>IF(OR(AND(Q239=0,H239=0),P239&gt;0),"",IF(AND(I239="W",N239="W"),ROUND(Q239-(H239*Lookups!$B$9),0),ROUND(+Q239-L239,0)))</f>
        <v/>
      </c>
      <c r="W239" s="75" t="str">
        <f t="shared" si="17"/>
        <v>E</v>
      </c>
      <c r="X239" s="123" t="str">
        <f t="shared" si="19"/>
        <v/>
      </c>
      <c r="Y239" s="123" t="str">
        <f t="shared" si="18"/>
        <v>Y</v>
      </c>
      <c r="Z239" s="121"/>
      <c r="AB239" s="58"/>
    </row>
    <row r="240" spans="1:31" x14ac:dyDescent="0.35">
      <c r="A240" s="139" t="s">
        <v>638</v>
      </c>
      <c r="B240" s="21" t="s">
        <v>355</v>
      </c>
      <c r="C240" s="4" t="s">
        <v>26</v>
      </c>
      <c r="D240" s="17">
        <v>250</v>
      </c>
      <c r="E240" s="15"/>
      <c r="F240" s="12">
        <v>100</v>
      </c>
      <c r="G240" s="20">
        <f t="shared" si="21"/>
        <v>100</v>
      </c>
      <c r="H240" s="15"/>
      <c r="I240" s="19"/>
      <c r="J240" s="12"/>
      <c r="K240" s="12"/>
      <c r="L240" s="20">
        <f>IF(I240="",0,IF(K240&gt;0,0,IF(I240="A",H240,IF(I240="M",H240*12,IF(I240="W",H240*(Lookups!$B$9+1),IF(I240="B",H240*(+Lookups!$B$10),IF(I240="S",H240*2,IF(AND(H240=0,K240&gt;0),K240,"ERROR"))))))))</f>
        <v>0</v>
      </c>
      <c r="M240" s="15"/>
      <c r="N240" s="19"/>
      <c r="O240" s="12">
        <v>0</v>
      </c>
      <c r="P240" s="12"/>
      <c r="Q240" s="20">
        <f>IF(N240="",0,IF(P240&gt;0,0,IF(N240="A",M240,IF(N240="M",M240*12,IF(N240="W",M240*(Lookups!$B$9),IF(N240="B",M240*(+Lookups!$B$10),IF(N240="S",M240*2,IF(AND(M240=0,P240&gt;0),P240,"ERROR"))))))))</f>
        <v>0</v>
      </c>
      <c r="R240" s="15"/>
      <c r="S240" s="19"/>
      <c r="T240" s="12"/>
      <c r="U240" s="20">
        <f>IF(R240="",0,IF(T240&gt;0,0,IF(S240="A",R240,IF(S240="M",R240*12,IF(S240="W",R240*Lookups!B$9,IF(S240="B",R240*+Lookups!B$10,IF(S240="S",R240*2,IF(AND(R240=0,T240&gt;0),T240,"ERROR"))))))))</f>
        <v>0</v>
      </c>
      <c r="V240" s="130" t="str">
        <f>IF(OR(AND(Q240=0,H240=0),P240&gt;0),"",IF(AND(I240="W",N240="W"),ROUND(Q240-(H240*Lookups!$B$9),0),ROUND(+Q240-L240,0)))</f>
        <v/>
      </c>
      <c r="W240" s="75" t="str">
        <f t="shared" si="17"/>
        <v/>
      </c>
      <c r="X240" s="123" t="str">
        <f t="shared" si="19"/>
        <v/>
      </c>
      <c r="Y240" s="123" t="str">
        <f t="shared" si="18"/>
        <v/>
      </c>
      <c r="Z240" s="121"/>
    </row>
    <row r="241" spans="1:31" x14ac:dyDescent="0.35">
      <c r="B241" s="21" t="s">
        <v>356</v>
      </c>
      <c r="C241" s="4" t="s">
        <v>357</v>
      </c>
      <c r="D241" s="17">
        <v>1525</v>
      </c>
      <c r="E241" s="15"/>
      <c r="F241" s="12">
        <v>1125</v>
      </c>
      <c r="G241" s="20">
        <f t="shared" si="21"/>
        <v>1125</v>
      </c>
      <c r="H241" s="15">
        <v>2000</v>
      </c>
      <c r="I241" s="19" t="s">
        <v>38</v>
      </c>
      <c r="J241" s="12">
        <v>1225</v>
      </c>
      <c r="K241" s="12"/>
      <c r="L241" s="20">
        <f>IF(I241="",0,IF(K241&gt;0,0,IF(I241="A",H241,IF(I241="M",H241*12,IF(I241="W",H241*(Lookups!$B$9+1),IF(I241="B",H241*(+Lookups!$B$10),IF(I241="S",H241*2,IF(AND(H241=0,K241&gt;0),K241,"ERROR"))))))))</f>
        <v>2000</v>
      </c>
      <c r="M241" s="15">
        <v>2100</v>
      </c>
      <c r="N241" s="19" t="s">
        <v>38</v>
      </c>
      <c r="O241" s="12">
        <v>1525</v>
      </c>
      <c r="P241" s="12"/>
      <c r="Q241" s="20">
        <f>IF(N241="",0,IF(P241&gt;0,0,IF(N241="A",M241,IF(N241="M",M241*12,IF(N241="W",M241*(Lookups!$B$9),IF(N241="B",M241*(+Lookups!$B$10),IF(N241="S",M241*2,IF(AND(M241=0,P241&gt;0),P241,"ERROR"))))))))</f>
        <v>2100</v>
      </c>
      <c r="R241" s="15">
        <v>2100</v>
      </c>
      <c r="S241" s="19" t="s">
        <v>38</v>
      </c>
      <c r="T241" s="12"/>
      <c r="U241" s="20">
        <f>IF(R241="",0,IF(T241&gt;0,0,IF(S241="A",R241,IF(S241="M",R241*12,IF(S241="W",R241*Lookups!B$9,IF(S241="B",R241*+Lookups!B$10,IF(S241="S",R241*2,IF(AND(R241=0,T241&gt;0),T241,"ERROR"))))))))</f>
        <v>2100</v>
      </c>
      <c r="V241" s="130">
        <f>IF(OR(AND(Q241=0,H241=0),P241&gt;0),"",IF(AND(I241="W",N241="W"),ROUND(Q241-(H241*Lookups!$B$9),0),ROUND(+Q241-L241,0)))</f>
        <v>100</v>
      </c>
      <c r="W241" s="75" t="str">
        <f t="shared" si="17"/>
        <v>I</v>
      </c>
      <c r="X241" s="123" t="str">
        <f t="shared" si="19"/>
        <v>N</v>
      </c>
      <c r="Y241" s="123" t="str">
        <f t="shared" si="18"/>
        <v/>
      </c>
      <c r="Z241" s="121"/>
      <c r="AA241" s="52" t="s">
        <v>496</v>
      </c>
    </row>
    <row r="242" spans="1:31" x14ac:dyDescent="0.35">
      <c r="A242" s="139" t="s">
        <v>638</v>
      </c>
      <c r="B242" s="79" t="s">
        <v>229</v>
      </c>
      <c r="C242" s="80" t="s">
        <v>230</v>
      </c>
      <c r="D242" s="90">
        <v>800</v>
      </c>
      <c r="E242" s="82">
        <v>800</v>
      </c>
      <c r="F242" s="81">
        <v>800</v>
      </c>
      <c r="G242" s="83">
        <f t="shared" si="21"/>
        <v>800</v>
      </c>
      <c r="H242" s="82"/>
      <c r="I242" s="84" t="s">
        <v>38</v>
      </c>
      <c r="J242" s="81">
        <v>200</v>
      </c>
      <c r="K242" s="81"/>
      <c r="L242" s="83">
        <f>IF(I242="",0,IF(K242&gt;0,0,IF(I242="A",H242,IF(I242="M",H242*12,IF(I242="W",H242*(Lookups!$B$9+1),IF(I242="B",H242*(+Lookups!$B$10),IF(I242="S",H242*2,IF(AND(H242=0,K242&gt;0),K242,"ERROR"))))))))</f>
        <v>0</v>
      </c>
      <c r="M242" s="82"/>
      <c r="N242" s="84"/>
      <c r="O242" s="81">
        <v>0</v>
      </c>
      <c r="P242" s="81"/>
      <c r="Q242" s="83">
        <f>IF(N242="",0,IF(P242&gt;0,0,IF(N242="A",M242,IF(N242="M",M242*12,IF(N242="W",M242*(Lookups!$B$9),IF(N242="B",M242*(+Lookups!$B$10),IF(N242="S",M242*2,IF(AND(M242=0,P242&gt;0),P242,"ERROR"))))))))</f>
        <v>0</v>
      </c>
      <c r="R242" s="82"/>
      <c r="S242" s="84"/>
      <c r="T242" s="81"/>
      <c r="U242" s="83">
        <f>IF(R242="",0,IF(T242&gt;0,0,IF(S242="A",R242,IF(S242="M",R242*12,IF(S242="W",R242*Lookups!B$9,IF(S242="B",R242*+Lookups!B$10,IF(S242="S",R242*2,IF(AND(R242=0,T242&gt;0),T242,"ERROR"))))))))</f>
        <v>0</v>
      </c>
      <c r="V242" s="85" t="str">
        <f>IF(OR(AND(Q242=0,H242=0),P242&gt;0),"",IF(AND(I242="W",N242="W"),ROUND(Q242-(H242*Lookups!$B$9),0),ROUND(+Q242-L242,0)))</f>
        <v/>
      </c>
      <c r="W242" s="86" t="str">
        <f t="shared" si="17"/>
        <v/>
      </c>
      <c r="X242" s="123" t="str">
        <f t="shared" si="19"/>
        <v/>
      </c>
      <c r="Y242" s="123" t="str">
        <f t="shared" si="18"/>
        <v/>
      </c>
      <c r="Z242" s="124"/>
      <c r="AA242" s="87" t="s">
        <v>508</v>
      </c>
      <c r="AB242" s="87"/>
      <c r="AC242" s="87"/>
      <c r="AD242" s="88"/>
      <c r="AE242" s="89"/>
    </row>
    <row r="243" spans="1:31" x14ac:dyDescent="0.35">
      <c r="B243" s="21"/>
      <c r="C243" s="4"/>
      <c r="D243" s="17"/>
      <c r="E243" s="15"/>
      <c r="F243" s="12"/>
      <c r="G243" s="20">
        <f t="shared" si="21"/>
        <v>0</v>
      </c>
      <c r="H243" s="15"/>
      <c r="I243" s="19"/>
      <c r="J243" s="12"/>
      <c r="K243" s="19"/>
      <c r="L243" s="20">
        <f>IF(I243="",0,IF(K243&gt;0,0,IF(I243="A",H243,IF(I243="M",H243*12,IF(I243="W",H243*(Lookups!$B$9+1),IF(I243="B",H243*(+Lookups!$B$10),IF(I243="S",H243*2,IF(AND(H243=0,K243&gt;0),K243,"ERROR"))))))))</f>
        <v>0</v>
      </c>
      <c r="M243" s="15"/>
      <c r="N243" s="19"/>
      <c r="O243" s="12"/>
      <c r="P243" s="19"/>
      <c r="Q243" s="20">
        <f>IF(N243="",0,IF(P243&gt;0,0,IF(N243="A",M243,IF(N243="M",M243*12,IF(N243="W",M243*(Lookups!$B$9),IF(N243="B",M243*(+Lookups!$B$10),IF(N243="S",M243*2,IF(AND(M243=0,P243&gt;0),P243,"ERROR"))))))))</f>
        <v>0</v>
      </c>
      <c r="R243" s="15"/>
      <c r="S243" s="19"/>
      <c r="T243" s="19"/>
      <c r="U243" s="20">
        <f>IF(R243="",0,IF(T243&gt;0,0,IF(S243="A",R243,IF(S243="M",R243*12,IF(S243="W",R243*Lookups!B$9,IF(S243="B",R243*+Lookups!B$10,IF(S243="S",R243*2,IF(AND(R243=0,T243&gt;0),T243,"ERROR"))))))))</f>
        <v>0</v>
      </c>
      <c r="V243" s="130" t="str">
        <f>IF(OR(AND(Q243=0,H243=0),P243&gt;0),"",IF(AND(I243="W",N243="W"),ROUND(Q243-(H243*Lookups!$B$9),0),ROUND(+Q243-L243,0)))</f>
        <v/>
      </c>
      <c r="W243" s="75" t="str">
        <f t="shared" si="17"/>
        <v/>
      </c>
      <c r="X243" s="123" t="str">
        <f t="shared" ref="X197:X243" si="22">IF(Q243&gt;0,IF(O243=Q243,"Y","N"),"")</f>
        <v/>
      </c>
      <c r="Y243" s="123" t="str">
        <f>IF(AND(P243="",W243=""),"",IF(AND(P243&gt;0,W243="E"),"Y","N"))</f>
        <v/>
      </c>
      <c r="Z243" s="121"/>
    </row>
    <row r="244" spans="1:31" ht="15" thickBot="1" x14ac:dyDescent="0.4">
      <c r="B244" s="16" t="s">
        <v>39</v>
      </c>
      <c r="C244" s="10"/>
      <c r="D244" s="18">
        <f>SUM(D4:D243)</f>
        <v>452163.64</v>
      </c>
      <c r="E244" s="16">
        <f>SUM(E4:E243)</f>
        <v>369897.8</v>
      </c>
      <c r="F244" s="9">
        <f>SUM(F4:F243)</f>
        <v>335208.75</v>
      </c>
      <c r="G244" s="10">
        <f>SUM(G4:G243)</f>
        <v>381271.55</v>
      </c>
      <c r="H244" s="16">
        <f>SUM(H4:H243)</f>
        <v>125948.4858490566</v>
      </c>
      <c r="I244" s="9"/>
      <c r="J244" s="9">
        <f>SUM(J4:J243)</f>
        <v>311385.69</v>
      </c>
      <c r="K244" s="9">
        <f>SUM(K4:K243)</f>
        <v>86870</v>
      </c>
      <c r="L244" s="10">
        <f>SUM(L4:L243)</f>
        <v>306703.75</v>
      </c>
      <c r="M244" s="16">
        <f>SUM(M4:M243)</f>
        <v>137495</v>
      </c>
      <c r="N244" s="9"/>
      <c r="O244" s="9">
        <f>SUM(O4:O243)</f>
        <v>318046.46999999997</v>
      </c>
      <c r="P244" s="9">
        <f>SUM(P4:P243)</f>
        <v>209365.4</v>
      </c>
      <c r="Q244" s="10">
        <f>SUM(Q4:Q243)</f>
        <v>199392</v>
      </c>
      <c r="R244" s="16">
        <f>SUM(R4:R243)</f>
        <v>122705</v>
      </c>
      <c r="S244" s="9"/>
      <c r="T244" s="9">
        <f>SUM(T4:T243)</f>
        <v>113410</v>
      </c>
      <c r="U244" s="10">
        <f>SUM(U4:U243)</f>
        <v>253620</v>
      </c>
      <c r="V244" s="16">
        <f>SUM(V4:V243)</f>
        <v>22370</v>
      </c>
      <c r="W244" s="10"/>
      <c r="X244" s="95"/>
      <c r="Y244" s="95"/>
      <c r="Z244" s="95"/>
      <c r="AA244" s="141"/>
      <c r="AB244" s="141"/>
      <c r="AC244" s="141"/>
      <c r="AD244" s="142"/>
      <c r="AE244" s="143"/>
    </row>
    <row r="245" spans="1:31" x14ac:dyDescent="0.35">
      <c r="B245" s="1" t="s">
        <v>43</v>
      </c>
      <c r="L245" s="53">
        <v>306704</v>
      </c>
      <c r="O245" s="1">
        <f>318046.47-O244</f>
        <v>0</v>
      </c>
      <c r="P245" s="1">
        <f>COUNTIF(P4:P242,"&gt;0")</f>
        <v>103</v>
      </c>
      <c r="Q245" s="53"/>
      <c r="V245" s="131" t="s">
        <v>633</v>
      </c>
    </row>
    <row r="246" spans="1:31" x14ac:dyDescent="0.35">
      <c r="B246" s="1" t="str">
        <f>"**  S=Same, D= Decrease, I=Increase, N=New, E=Esimate (Pledged in "&amp;H2&amp;" but not in "&amp;R2&amp;"), X=Esimate does not pledge but gave in "&amp;H2</f>
        <v>**  S=Same, D= Decrease, I=Increase, N=New, E=Esimate (Pledged in 2023 but not in 2025), X=Esimate does not pledge but gave in 2023</v>
      </c>
    </row>
  </sheetData>
  <autoFilter ref="A2:AE246">
    <filterColumn colId="1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7" showButton="0"/>
    <filterColumn colId="18" showButton="0"/>
    <filterColumn colId="19" showButton="0"/>
    <filterColumn colId="21" showButton="0"/>
    <filterColumn colId="25" showButton="0"/>
    <filterColumn colId="26" showButton="0"/>
    <filterColumn colId="27" showButton="0"/>
    <filterColumn colId="28" showButton="0"/>
    <filterColumn colId="29" showButton="0"/>
  </autoFilter>
  <mergeCells count="9">
    <mergeCell ref="Z2:AE2"/>
    <mergeCell ref="M2:Q2"/>
    <mergeCell ref="B1:W1"/>
    <mergeCell ref="D2:D3"/>
    <mergeCell ref="B2:C2"/>
    <mergeCell ref="V2:W2"/>
    <mergeCell ref="R2:U2"/>
    <mergeCell ref="H2:L2"/>
    <mergeCell ref="E2:G2"/>
  </mergeCells>
  <hyperlinks>
    <hyperlink ref="AA152" r:id="rId1"/>
    <hyperlink ref="AA11" r:id="rId2"/>
    <hyperlink ref="AA9" r:id="rId3"/>
    <hyperlink ref="AA13" r:id="rId4"/>
    <hyperlink ref="AA15" r:id="rId5"/>
    <hyperlink ref="AA17" r:id="rId6"/>
    <hyperlink ref="AA18" r:id="rId7"/>
    <hyperlink ref="AA21" r:id="rId8"/>
    <hyperlink ref="AA25" r:id="rId9"/>
    <hyperlink ref="AA30" r:id="rId10"/>
    <hyperlink ref="AA32" r:id="rId11"/>
    <hyperlink ref="AA37" r:id="rId12"/>
    <hyperlink ref="AA46" r:id="rId13"/>
    <hyperlink ref="AA55" r:id="rId14"/>
    <hyperlink ref="AA60" r:id="rId15"/>
    <hyperlink ref="AA61" r:id="rId16"/>
    <hyperlink ref="AA69" r:id="rId17"/>
    <hyperlink ref="AA71" r:id="rId18"/>
    <hyperlink ref="AA73" r:id="rId19" display="sandra.georgeson@yahoo.com"/>
    <hyperlink ref="AA74" r:id="rId20"/>
    <hyperlink ref="AA84" r:id="rId21"/>
    <hyperlink ref="AA89" r:id="rId22"/>
    <hyperlink ref="AA93" r:id="rId23"/>
    <hyperlink ref="AA94" r:id="rId24"/>
    <hyperlink ref="AA95" r:id="rId25" display="dubar@att.net"/>
    <hyperlink ref="AA99" r:id="rId26"/>
    <hyperlink ref="AA110" r:id="rId27" display="jkiemen1942@gmail.com"/>
    <hyperlink ref="AA125" r:id="rId28"/>
    <hyperlink ref="AA138" r:id="rId29"/>
    <hyperlink ref="AA139" r:id="rId30"/>
    <hyperlink ref="AA141" r:id="rId31"/>
    <hyperlink ref="AA143" r:id="rId32"/>
    <hyperlink ref="AA146" r:id="rId33"/>
    <hyperlink ref="AA155" r:id="rId34"/>
    <hyperlink ref="AA156" r:id="rId35"/>
    <hyperlink ref="AA160" r:id="rId36"/>
    <hyperlink ref="AA180" r:id="rId37"/>
    <hyperlink ref="AA193" r:id="rId38"/>
    <hyperlink ref="AA203" r:id="rId39"/>
    <hyperlink ref="AA213" r:id="rId40"/>
    <hyperlink ref="AA232" r:id="rId41"/>
    <hyperlink ref="AA237" r:id="rId42"/>
    <hyperlink ref="AA241" r:id="rId43"/>
    <hyperlink ref="AA28" r:id="rId44"/>
    <hyperlink ref="AA34" r:id="rId45"/>
    <hyperlink ref="AA38" r:id="rId46"/>
    <hyperlink ref="AA39" r:id="rId47"/>
    <hyperlink ref="AA49" r:id="rId48"/>
    <hyperlink ref="AA68" r:id="rId49"/>
    <hyperlink ref="AA75" r:id="rId50"/>
    <hyperlink ref="AA98" r:id="rId51"/>
    <hyperlink ref="AA107" r:id="rId52"/>
    <hyperlink ref="AA115" r:id="rId53"/>
    <hyperlink ref="AA119" r:id="rId54"/>
    <hyperlink ref="AA122" r:id="rId55"/>
    <hyperlink ref="AA133" r:id="rId56"/>
    <hyperlink ref="AA134" r:id="rId57"/>
    <hyperlink ref="AA148" r:id="rId58"/>
    <hyperlink ref="AA154" r:id="rId59"/>
    <hyperlink ref="AA162" r:id="rId60"/>
    <hyperlink ref="AA163" r:id="rId61"/>
    <hyperlink ref="AA166" r:id="rId62"/>
    <hyperlink ref="AA165" r:id="rId63"/>
    <hyperlink ref="AA169" r:id="rId64"/>
    <hyperlink ref="AA174" r:id="rId65"/>
    <hyperlink ref="AA187" r:id="rId66"/>
    <hyperlink ref="AA188" r:id="rId67"/>
    <hyperlink ref="AA205" r:id="rId68"/>
    <hyperlink ref="AA216" r:id="rId69"/>
    <hyperlink ref="AA224" r:id="rId70"/>
    <hyperlink ref="AA226" r:id="rId71"/>
    <hyperlink ref="AA227" r:id="rId72"/>
    <hyperlink ref="AA70" r:id="rId73"/>
  </hyperlinks>
  <pageMargins left="0.7" right="0.7" top="0.75" bottom="0.75" header="0.3" footer="0.3"/>
  <pageSetup scale="34" fitToHeight="0" orientation="portrait" horizontalDpi="0" verticalDpi="0" r:id="rId74"/>
  <legacyDrawing r:id="rId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showGridLines="0" tabSelected="1" workbookViewId="0">
      <selection activeCell="J9" sqref="J9"/>
    </sheetView>
  </sheetViews>
  <sheetFormatPr defaultRowHeight="14.5" x14ac:dyDescent="0.35"/>
  <cols>
    <col min="1" max="1" width="33.81640625" customWidth="1"/>
    <col min="2" max="2" width="8.7265625" customWidth="1"/>
    <col min="3" max="3" width="10.1796875" customWidth="1"/>
    <col min="5" max="5" width="9.6328125" customWidth="1"/>
    <col min="7" max="7" width="9.7265625" customWidth="1"/>
    <col min="8" max="8" width="8.1796875" customWidth="1"/>
    <col min="9" max="9" width="10" customWidth="1"/>
    <col min="11" max="11" width="14.453125" customWidth="1"/>
  </cols>
  <sheetData>
    <row r="1" spans="1:11" ht="19" thickBot="1" x14ac:dyDescent="0.5">
      <c r="A1" s="203" t="s">
        <v>688</v>
      </c>
      <c r="B1" s="203"/>
      <c r="C1" s="203"/>
      <c r="D1" s="203"/>
      <c r="E1" s="203"/>
      <c r="F1" s="203"/>
      <c r="G1" s="203"/>
    </row>
    <row r="2" spans="1:11" ht="18.5" x14ac:dyDescent="0.45">
      <c r="A2" s="179"/>
      <c r="B2" s="187">
        <v>2023</v>
      </c>
      <c r="C2" s="188"/>
      <c r="D2" s="189"/>
      <c r="E2" s="187">
        <v>2024</v>
      </c>
      <c r="F2" s="188"/>
      <c r="G2" s="189"/>
    </row>
    <row r="3" spans="1:11" ht="29" x14ac:dyDescent="0.35">
      <c r="A3" s="3"/>
      <c r="B3" s="190" t="s">
        <v>2</v>
      </c>
      <c r="C3" s="11" t="s">
        <v>6</v>
      </c>
      <c r="D3" s="191" t="s">
        <v>51</v>
      </c>
      <c r="E3" s="190" t="s">
        <v>2</v>
      </c>
      <c r="F3" s="11" t="s">
        <v>6</v>
      </c>
      <c r="G3" s="191" t="s">
        <v>51</v>
      </c>
    </row>
    <row r="4" spans="1:11" hidden="1" x14ac:dyDescent="0.35">
      <c r="A4" s="180" t="s">
        <v>3</v>
      </c>
      <c r="B4" s="192">
        <f>COUNTIF(Data!D$4:D243,"&gt;0")</f>
        <v>189</v>
      </c>
      <c r="C4" s="94">
        <f>+Data!D244</f>
        <v>452163.64</v>
      </c>
      <c r="D4" s="193"/>
      <c r="E4" s="192">
        <f>COUNTIF(Data!G$4:G243,"&gt;0")</f>
        <v>177</v>
      </c>
      <c r="F4" s="94">
        <f>+Data!G244</f>
        <v>381271.55</v>
      </c>
      <c r="G4" s="193"/>
    </row>
    <row r="5" spans="1:11" hidden="1" x14ac:dyDescent="0.35">
      <c r="A5" s="180" t="s">
        <v>523</v>
      </c>
      <c r="B5" s="192">
        <f>COUNTIF(Data!G$4:G244,"&gt;0")</f>
        <v>178</v>
      </c>
      <c r="C5" s="94">
        <f>+Data!G244</f>
        <v>381271.55</v>
      </c>
      <c r="D5" s="193"/>
      <c r="E5" s="192">
        <f>COUNTIF(Data!J$4:J244,"&gt;0")</f>
        <v>159</v>
      </c>
      <c r="F5" s="94">
        <f>+Data!J244</f>
        <v>311385.69</v>
      </c>
      <c r="G5" s="193"/>
    </row>
    <row r="6" spans="1:11" x14ac:dyDescent="0.35">
      <c r="A6" s="3" t="s">
        <v>47</v>
      </c>
      <c r="B6" s="194">
        <f>COUNTIF(Data!L$4:L243,"&gt;0")</f>
        <v>95</v>
      </c>
      <c r="C6" s="24">
        <f>+Data!L244</f>
        <v>306703.75</v>
      </c>
      <c r="D6" s="32">
        <f>+C6/C$9</f>
        <v>0.7480579268292683</v>
      </c>
      <c r="E6" s="194">
        <f>COUNTIF(Data!Q$4:Q243,"&gt;0")</f>
        <v>79</v>
      </c>
      <c r="F6" s="24">
        <f>+Data!Q244</f>
        <v>199392</v>
      </c>
      <c r="G6" s="32">
        <f>+F6/F$9</f>
        <v>0.48632195121951222</v>
      </c>
    </row>
    <row r="7" spans="1:11" x14ac:dyDescent="0.35">
      <c r="A7" s="3" t="s">
        <v>48</v>
      </c>
      <c r="B7" s="194">
        <f>COUNTIF(Data!K$4:K243,"&gt;0")</f>
        <v>46</v>
      </c>
      <c r="C7" s="24">
        <f>+Data!K244</f>
        <v>86870</v>
      </c>
      <c r="D7" s="32">
        <f>+C7/C$9</f>
        <v>0.2118780487804878</v>
      </c>
      <c r="E7" s="195">
        <f>COUNTIF(Data!P4:P243,"&gt;0")</f>
        <v>103</v>
      </c>
      <c r="F7" s="24">
        <f>+Data!P244</f>
        <v>209365.4</v>
      </c>
      <c r="G7" s="32">
        <f>+F7/F$9</f>
        <v>0.51064731707317068</v>
      </c>
    </row>
    <row r="8" spans="1:11" x14ac:dyDescent="0.35">
      <c r="A8" s="3" t="s">
        <v>687</v>
      </c>
      <c r="B8" s="194">
        <v>0</v>
      </c>
      <c r="C8" s="24">
        <f>410000-C6-C7</f>
        <v>16426.25</v>
      </c>
      <c r="D8" s="32">
        <f>+C8/C$9</f>
        <v>4.0064024390243903E-2</v>
      </c>
      <c r="E8" s="194">
        <v>0</v>
      </c>
      <c r="F8" s="184">
        <f>410000-F6-F7</f>
        <v>1242.6000000000058</v>
      </c>
      <c r="G8" s="32">
        <f>+F8/F$9</f>
        <v>3.0307317073170873E-3</v>
      </c>
    </row>
    <row r="9" spans="1:11" ht="15" thickBot="1" x14ac:dyDescent="0.4">
      <c r="A9" s="180" t="s">
        <v>685</v>
      </c>
      <c r="B9" s="201">
        <f>SUM(B6:B7)</f>
        <v>141</v>
      </c>
      <c r="C9" s="202">
        <f>SUM(C6:C8)</f>
        <v>410000</v>
      </c>
      <c r="D9" s="35">
        <f>+C9/C$9</f>
        <v>1</v>
      </c>
      <c r="E9" s="201">
        <f>SUM(E6:E7)</f>
        <v>182</v>
      </c>
      <c r="F9" s="202">
        <f>SUM(F6:F8)</f>
        <v>410000</v>
      </c>
      <c r="G9" s="35">
        <f>+F9/F$9</f>
        <v>1</v>
      </c>
    </row>
    <row r="10" spans="1:11" x14ac:dyDescent="0.35">
      <c r="A10" s="181"/>
      <c r="B10" s="50" t="s">
        <v>691</v>
      </c>
      <c r="C10" s="171"/>
      <c r="D10" s="28"/>
      <c r="E10" s="196"/>
      <c r="F10" s="185">
        <f>(15000/8)*12</f>
        <v>22500</v>
      </c>
      <c r="G10" s="197"/>
      <c r="H10" s="182"/>
    </row>
    <row r="11" spans="1:11" x14ac:dyDescent="0.35">
      <c r="A11" s="181"/>
      <c r="B11" s="50" t="s">
        <v>679</v>
      </c>
      <c r="C11" s="171"/>
      <c r="D11" s="28"/>
      <c r="E11" s="196"/>
      <c r="F11" s="171">
        <f>+F9+F10</f>
        <v>432500</v>
      </c>
      <c r="G11" s="197"/>
      <c r="H11" s="182"/>
    </row>
    <row r="12" spans="1:11" x14ac:dyDescent="0.35">
      <c r="A12" s="181"/>
      <c r="B12" s="50" t="s">
        <v>689</v>
      </c>
      <c r="C12" s="171"/>
      <c r="D12" s="28"/>
      <c r="E12" s="196"/>
      <c r="F12" s="185">
        <v>416000</v>
      </c>
      <c r="G12" s="197"/>
      <c r="H12" s="182"/>
    </row>
    <row r="13" spans="1:11" ht="15" thickBot="1" x14ac:dyDescent="0.4">
      <c r="A13" s="181"/>
      <c r="B13" s="50" t="s">
        <v>690</v>
      </c>
      <c r="C13" s="171"/>
      <c r="D13" s="28"/>
      <c r="E13" s="198"/>
      <c r="F13" s="199">
        <f>+F11-F12</f>
        <v>16500</v>
      </c>
      <c r="G13" s="200"/>
      <c r="H13" s="182"/>
    </row>
    <row r="14" spans="1:11" x14ac:dyDescent="0.35">
      <c r="A14" s="5"/>
      <c r="B14" s="50"/>
      <c r="C14" s="171"/>
      <c r="D14" s="28"/>
      <c r="E14" s="29"/>
      <c r="F14" s="172"/>
    </row>
    <row r="15" spans="1:11" ht="15" thickBot="1" x14ac:dyDescent="0.4"/>
    <row r="16" spans="1:11" ht="18.5" x14ac:dyDescent="0.45">
      <c r="A16" s="144" t="s">
        <v>635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6"/>
    </row>
    <row r="17" spans="1:11" x14ac:dyDescent="0.35">
      <c r="A17" s="2"/>
      <c r="B17" s="11">
        <v>2022</v>
      </c>
      <c r="C17" s="11">
        <v>2023</v>
      </c>
      <c r="D17" s="11">
        <v>2024</v>
      </c>
      <c r="E17" s="11">
        <v>2025</v>
      </c>
      <c r="F17" s="11">
        <f>+E17</f>
        <v>2025</v>
      </c>
      <c r="G17" s="27" t="s">
        <v>511</v>
      </c>
      <c r="H17" s="3"/>
      <c r="I17" s="3"/>
      <c r="J17" s="3"/>
      <c r="K17" s="6"/>
    </row>
    <row r="18" spans="1:11" x14ac:dyDescent="0.35">
      <c r="A18" s="2" t="s">
        <v>55</v>
      </c>
      <c r="B18" s="43">
        <v>32</v>
      </c>
      <c r="C18" s="43">
        <v>38</v>
      </c>
      <c r="D18" s="13">
        <f>COUNTIF(Data!W$4:W243,"S")</f>
        <v>33</v>
      </c>
      <c r="E18" s="13"/>
      <c r="F18" s="45"/>
      <c r="G18" s="92"/>
      <c r="H18" s="3" t="s">
        <v>634</v>
      </c>
      <c r="I18" s="3"/>
      <c r="J18" s="3"/>
      <c r="K18" s="6"/>
    </row>
    <row r="19" spans="1:11" x14ac:dyDescent="0.35">
      <c r="A19" s="2" t="s">
        <v>56</v>
      </c>
      <c r="B19" s="43">
        <v>52</v>
      </c>
      <c r="C19" s="43">
        <v>37</v>
      </c>
      <c r="D19" s="13">
        <f>COUNTIF(Data!W$4:W243,"I")</f>
        <v>21</v>
      </c>
      <c r="E19" s="13"/>
      <c r="F19" s="45"/>
      <c r="G19" s="92"/>
      <c r="H19" s="3" t="str">
        <f>+"Increased pledge from 2023 (increase = $"&amp;ROUND(SUMIF(Data!W$4:W243,"I",Data!V$4:V243),0)&amp;")"</f>
        <v>Increased pledge from 2023 (increase = $7955)</v>
      </c>
      <c r="I19" s="3"/>
      <c r="J19" s="3"/>
      <c r="K19" s="6"/>
    </row>
    <row r="20" spans="1:11" x14ac:dyDescent="0.35">
      <c r="A20" s="2" t="s">
        <v>57</v>
      </c>
      <c r="B20" s="43">
        <v>0</v>
      </c>
      <c r="C20" s="43">
        <v>12</v>
      </c>
      <c r="D20" s="13">
        <f>COUNTIF(Data!W$4:W243,"N")</f>
        <v>16</v>
      </c>
      <c r="E20" s="13"/>
      <c r="F20" s="45"/>
      <c r="G20" s="92"/>
      <c r="H20" s="3" t="s">
        <v>636</v>
      </c>
      <c r="I20" s="3"/>
      <c r="J20" s="3"/>
      <c r="K20" s="6"/>
    </row>
    <row r="21" spans="1:11" x14ac:dyDescent="0.35">
      <c r="A21" s="2" t="s">
        <v>58</v>
      </c>
      <c r="B21" s="43">
        <v>2</v>
      </c>
      <c r="C21" s="43">
        <v>16</v>
      </c>
      <c r="D21" s="13">
        <f>COUNTIF(Data!W$4:W243,"D")</f>
        <v>9</v>
      </c>
      <c r="E21" s="13"/>
      <c r="F21" s="45"/>
      <c r="G21" s="92"/>
      <c r="H21" s="3" t="str">
        <f>+"Decreased pledge from 2023 (decrease = $"&amp;ABS(ROUND(SUMIF(Data!W$4:W243,"D",Data!V$4:V243),0))&amp;")"</f>
        <v>Decreased pledge from 2023 (decrease = $5360)</v>
      </c>
      <c r="I21" s="3"/>
      <c r="J21" s="3"/>
      <c r="K21" s="6"/>
    </row>
    <row r="22" spans="1:11" x14ac:dyDescent="0.35">
      <c r="A22" s="177" t="s">
        <v>683</v>
      </c>
      <c r="B22" s="178">
        <f>SUM(B18:B21)</f>
        <v>86</v>
      </c>
      <c r="C22" s="178">
        <f t="shared" ref="C22:D22" si="0">SUM(C18:C21)</f>
        <v>103</v>
      </c>
      <c r="D22" s="178">
        <f t="shared" si="0"/>
        <v>79</v>
      </c>
      <c r="E22" s="13"/>
      <c r="F22" s="45"/>
      <c r="G22" s="92"/>
      <c r="H22" s="3"/>
      <c r="I22" s="3"/>
      <c r="J22" s="3"/>
      <c r="K22" s="6"/>
    </row>
    <row r="23" spans="1:11" x14ac:dyDescent="0.35">
      <c r="A23" s="2" t="s">
        <v>680</v>
      </c>
      <c r="B23" s="43" t="s">
        <v>684</v>
      </c>
      <c r="C23" s="43" t="s">
        <v>684</v>
      </c>
      <c r="D23" s="13">
        <f>COUNTIF(Data!W$4:W243,"X")</f>
        <v>7</v>
      </c>
      <c r="E23" s="13"/>
      <c r="F23" s="45"/>
      <c r="G23" s="92"/>
      <c r="H23" s="3" t="s">
        <v>681</v>
      </c>
      <c r="I23" s="3"/>
      <c r="J23" s="3"/>
      <c r="K23" s="6"/>
    </row>
    <row r="24" spans="1:11" x14ac:dyDescent="0.35">
      <c r="A24" s="2" t="s">
        <v>507</v>
      </c>
      <c r="B24" s="46">
        <v>18</v>
      </c>
      <c r="C24" s="46">
        <v>46</v>
      </c>
      <c r="D24" s="44">
        <f>+COUNTIF(Data!W$4:W243,"E")</f>
        <v>103</v>
      </c>
      <c r="E24" s="44"/>
      <c r="F24" s="45"/>
      <c r="G24" s="92"/>
      <c r="H24" s="3"/>
      <c r="I24" s="3"/>
      <c r="J24" s="3"/>
      <c r="K24" s="6"/>
    </row>
    <row r="25" spans="1:11" ht="15" thickBot="1" x14ac:dyDescent="0.4">
      <c r="A25" s="8" t="s">
        <v>54</v>
      </c>
      <c r="B25" s="47">
        <f>SUM(B22:B24)</f>
        <v>104</v>
      </c>
      <c r="C25" s="47">
        <f t="shared" ref="C25:D25" si="1">SUM(C22:C24)</f>
        <v>149</v>
      </c>
      <c r="D25" s="47">
        <f t="shared" si="1"/>
        <v>189</v>
      </c>
      <c r="E25" s="47"/>
      <c r="F25" s="48"/>
      <c r="G25" s="93"/>
      <c r="H25" s="22"/>
      <c r="I25" s="22"/>
      <c r="J25" s="22"/>
      <c r="K25" s="23"/>
    </row>
    <row r="26" spans="1:11" x14ac:dyDescent="0.35">
      <c r="E26" s="1"/>
    </row>
    <row r="27" spans="1:11" ht="19" hidden="1" thickBot="1" x14ac:dyDescent="0.5">
      <c r="A27" s="160" t="s">
        <v>678</v>
      </c>
      <c r="B27" s="161"/>
      <c r="C27" s="161"/>
      <c r="D27" s="161"/>
      <c r="E27" s="161"/>
      <c r="F27" s="162"/>
      <c r="G27" s="1"/>
    </row>
    <row r="28" spans="1:11" ht="29" hidden="1" x14ac:dyDescent="0.35">
      <c r="A28" s="2"/>
      <c r="B28" s="7" t="s">
        <v>46</v>
      </c>
      <c r="C28" s="11" t="s">
        <v>6</v>
      </c>
      <c r="D28" s="7" t="s">
        <v>51</v>
      </c>
      <c r="E28" s="13" t="s">
        <v>50</v>
      </c>
      <c r="F28" s="14" t="s">
        <v>49</v>
      </c>
    </row>
    <row r="29" spans="1:11" hidden="1" x14ac:dyDescent="0.35">
      <c r="A29" s="138" t="str">
        <f>+A9</f>
        <v>Total Budget (envelop giving)</v>
      </c>
      <c r="B29" s="49"/>
      <c r="C29" s="186">
        <v>400000</v>
      </c>
      <c r="D29" s="36"/>
      <c r="E29" s="37"/>
      <c r="F29" s="38"/>
    </row>
    <row r="30" spans="1:11" hidden="1" x14ac:dyDescent="0.35">
      <c r="A30" s="31" t="s">
        <v>385</v>
      </c>
      <c r="B30" s="50"/>
      <c r="C30" s="33">
        <f>+C29-C32-C33-C34</f>
        <v>297756</v>
      </c>
      <c r="D30" s="28"/>
      <c r="E30" s="29"/>
      <c r="F30" s="30"/>
    </row>
    <row r="31" spans="1:11" hidden="1" x14ac:dyDescent="0.35">
      <c r="A31" s="39" t="s">
        <v>384</v>
      </c>
      <c r="B31" s="51">
        <f>+E6</f>
        <v>79</v>
      </c>
      <c r="C31" s="40" t="e">
        <f>+#REF!</f>
        <v>#REF!</v>
      </c>
      <c r="D31" s="41"/>
      <c r="E31" s="40" t="e">
        <f>+C31-C30</f>
        <v>#REF!</v>
      </c>
      <c r="F31" s="42" t="e">
        <f>+E31/C30</f>
        <v>#REF!</v>
      </c>
    </row>
    <row r="32" spans="1:11" hidden="1" x14ac:dyDescent="0.35">
      <c r="A32" s="2" t="s">
        <v>379</v>
      </c>
      <c r="B32" s="13"/>
      <c r="C32" s="137">
        <v>24255</v>
      </c>
      <c r="D32" s="3"/>
      <c r="E32" s="3"/>
      <c r="F32" s="6"/>
    </row>
    <row r="33" spans="1:6" hidden="1" x14ac:dyDescent="0.35">
      <c r="A33" s="2" t="s">
        <v>380</v>
      </c>
      <c r="B33" s="13"/>
      <c r="C33" s="137">
        <v>23344</v>
      </c>
      <c r="D33" s="3"/>
      <c r="E33" s="3"/>
      <c r="F33" s="6"/>
    </row>
    <row r="34" spans="1:6" hidden="1" x14ac:dyDescent="0.35">
      <c r="A34" s="2" t="s">
        <v>381</v>
      </c>
      <c r="B34" s="13"/>
      <c r="C34" s="137">
        <v>54645</v>
      </c>
      <c r="D34" s="3"/>
      <c r="E34" s="3"/>
      <c r="F34" s="6"/>
    </row>
    <row r="35" spans="1:6" ht="15" hidden="1" thickBot="1" x14ac:dyDescent="0.4">
      <c r="A35" s="8" t="s">
        <v>382</v>
      </c>
      <c r="B35" s="47"/>
      <c r="C35" s="25" t="e">
        <f>+SUM(C31:C34)</f>
        <v>#REF!</v>
      </c>
      <c r="D35" s="22"/>
      <c r="E35" s="25" t="e">
        <f>+C35-C29</f>
        <v>#REF!</v>
      </c>
      <c r="F35" s="35" t="e">
        <f>+E35/C29</f>
        <v>#REF!</v>
      </c>
    </row>
  </sheetData>
  <mergeCells count="5">
    <mergeCell ref="A27:F27"/>
    <mergeCell ref="A16:K16"/>
    <mergeCell ref="B2:D2"/>
    <mergeCell ref="E2:G2"/>
    <mergeCell ref="A1:G1"/>
  </mergeCells>
  <pageMargins left="0.7" right="0.7" top="0.5" bottom="0.5" header="0.3" footer="0.3"/>
  <pageSetup scale="87" orientation="landscape" horizontalDpi="0" verticalDpi="0" r:id="rId1"/>
  <headerFooter>
    <oddFooter>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B9" sqref="B9"/>
    </sheetView>
  </sheetViews>
  <sheetFormatPr defaultRowHeight="14.5" x14ac:dyDescent="0.35"/>
  <cols>
    <col min="1" max="1" width="10.81640625" customWidth="1"/>
  </cols>
  <sheetData>
    <row r="2" spans="1:3" x14ac:dyDescent="0.35">
      <c r="A2" t="s">
        <v>383</v>
      </c>
      <c r="B2" s="34">
        <v>9</v>
      </c>
    </row>
    <row r="3" spans="1:3" x14ac:dyDescent="0.35">
      <c r="A3" s="26" t="s">
        <v>44</v>
      </c>
      <c r="B3">
        <f>+B2/12</f>
        <v>0.75</v>
      </c>
    </row>
    <row r="4" spans="1:3" x14ac:dyDescent="0.35">
      <c r="A4" s="26" t="s">
        <v>42</v>
      </c>
      <c r="B4">
        <f>+B2/12</f>
        <v>0.75</v>
      </c>
    </row>
    <row r="5" spans="1:3" x14ac:dyDescent="0.35">
      <c r="A5" s="26" t="s">
        <v>41</v>
      </c>
      <c r="B5">
        <f>+(13+13+13)/52</f>
        <v>0.75</v>
      </c>
    </row>
    <row r="8" spans="1:3" x14ac:dyDescent="0.35">
      <c r="B8">
        <v>2024</v>
      </c>
      <c r="C8">
        <v>2023</v>
      </c>
    </row>
    <row r="9" spans="1:3" x14ac:dyDescent="0.35">
      <c r="A9" t="s">
        <v>497</v>
      </c>
      <c r="B9" s="34">
        <v>52</v>
      </c>
      <c r="C9" s="34">
        <v>53</v>
      </c>
    </row>
    <row r="10" spans="1:3" x14ac:dyDescent="0.35">
      <c r="A10" t="s">
        <v>498</v>
      </c>
      <c r="B10" s="34">
        <v>26</v>
      </c>
      <c r="C10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Print</vt:lpstr>
      <vt:lpstr>Data</vt:lpstr>
      <vt:lpstr>Summary</vt:lpstr>
      <vt:lpstr>Lookups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2024-09-22T03:36:23Z</cp:lastPrinted>
  <dcterms:created xsi:type="dcterms:W3CDTF">2022-09-28T19:27:14Z</dcterms:created>
  <dcterms:modified xsi:type="dcterms:W3CDTF">2024-09-22T20:05:52Z</dcterms:modified>
</cp:coreProperties>
</file>